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ORTATIL\Google Drive\Popayán2020\Seguimiento PDM\Plan indicativo\"/>
    </mc:Choice>
  </mc:AlternateContent>
  <workbookProtection workbookAlgorithmName="SHA-512" workbookHashValue="KA3zjO3IXYNwjict/7eoV8YZOHqT+ZkBnPFeNZ5lHxh4QESW4177pu0WRz6BKUo1xfHbPbbhpnODVQUqSQtOkg==" workbookSaltValue="DbfXcGRjE7u6db21WbYehg==" workbookSpinCount="100000" lockStructure="1"/>
  <bookViews>
    <workbookView minimized="1" xWindow="0" yWindow="0" windowWidth="16815" windowHeight="7740" activeTab="2"/>
  </bookViews>
  <sheets>
    <sheet name="MPT" sheetId="1" r:id="rId1"/>
    <sheet name="Hoja2" sheetId="2" state="hidden" r:id="rId2"/>
    <sheet name="Res" sheetId="3" r:id="rId3"/>
  </sheets>
  <externalReferences>
    <externalReference r:id="rId4"/>
  </externalReferences>
  <definedNames>
    <definedName name="_xlnm._FilterDatabase" localSheetId="0" hidden="1">MPT!$A$7:$EF$403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1" i="1" l="1"/>
  <c r="AJ40" i="1"/>
  <c r="N377" i="1" l="1"/>
  <c r="H77" i="3" l="1"/>
  <c r="F77" i="3"/>
  <c r="AQ133" i="1"/>
  <c r="AP133" i="1"/>
  <c r="AA133" i="1"/>
  <c r="AP8" i="1"/>
  <c r="AP323" i="1"/>
  <c r="AP324" i="1"/>
  <c r="AQ324" i="1" s="1"/>
  <c r="AP325" i="1"/>
  <c r="AP326" i="1"/>
  <c r="AQ326" i="1" s="1"/>
  <c r="AP327" i="1"/>
  <c r="AQ327" i="1" s="1"/>
  <c r="AP328" i="1"/>
  <c r="AQ328" i="1" s="1"/>
  <c r="AP321" i="1"/>
  <c r="AP244" i="1"/>
  <c r="AP249" i="1"/>
  <c r="AP250" i="1"/>
  <c r="AP256" i="1"/>
  <c r="AP263" i="1"/>
  <c r="AQ263" i="1" s="1"/>
  <c r="AP237" i="1"/>
  <c r="AP231" i="1"/>
  <c r="AP232" i="1"/>
  <c r="AP228" i="1"/>
  <c r="AP229" i="1"/>
  <c r="AP225" i="1"/>
  <c r="AP213" i="1"/>
  <c r="AQ213" i="1" s="1"/>
  <c r="AP158" i="1"/>
  <c r="AP116" i="1"/>
  <c r="AP366" i="1"/>
  <c r="AP367" i="1"/>
  <c r="AP368" i="1"/>
  <c r="AP369" i="1"/>
  <c r="AP370" i="1"/>
  <c r="AP371" i="1"/>
  <c r="AP372" i="1"/>
  <c r="AP373" i="1"/>
  <c r="AP374" i="1"/>
  <c r="AP375" i="1"/>
  <c r="AP376" i="1"/>
  <c r="AP377" i="1"/>
  <c r="AP378" i="1"/>
  <c r="AP379" i="1"/>
  <c r="AP393" i="1"/>
  <c r="AP399" i="1"/>
  <c r="Y297" i="1"/>
  <c r="AI297" i="1" s="1"/>
  <c r="F59" i="3"/>
  <c r="AQ53" i="1"/>
  <c r="AQ54" i="1"/>
  <c r="AQ55" i="1"/>
  <c r="AQ59" i="1"/>
  <c r="AQ70" i="1"/>
  <c r="AQ75" i="1"/>
  <c r="AQ77" i="1"/>
  <c r="AQ87" i="1"/>
  <c r="AQ91" i="1"/>
  <c r="Y133" i="1"/>
  <c r="Y262" i="1"/>
  <c r="AD262" i="1" s="1"/>
  <c r="AP262" i="1" s="1"/>
  <c r="Y30" i="1"/>
  <c r="AC30" i="1" s="1"/>
  <c r="V263" i="1"/>
  <c r="X263" i="1" s="1"/>
  <c r="AQ262" i="1" l="1"/>
  <c r="AO297" i="1"/>
  <c r="AA297" i="1"/>
  <c r="AL297" i="1"/>
  <c r="AC262" i="1"/>
  <c r="AI262" i="1"/>
  <c r="AL262" i="1"/>
  <c r="AF262" i="1"/>
  <c r="W263" i="1"/>
  <c r="AA30" i="1"/>
  <c r="AP30" i="1" s="1"/>
  <c r="AQ30" i="1" s="1"/>
  <c r="AI30" i="1"/>
  <c r="AP9" i="1"/>
  <c r="AP10" i="1"/>
  <c r="AP11" i="1"/>
  <c r="AP12" i="1"/>
  <c r="AP13" i="1"/>
  <c r="AP14" i="1"/>
  <c r="AP15" i="1"/>
  <c r="AP16" i="1"/>
  <c r="AP17" i="1"/>
  <c r="AP18" i="1"/>
  <c r="AP19" i="1"/>
  <c r="AP20" i="1"/>
  <c r="AP21" i="1"/>
  <c r="AP22" i="1"/>
  <c r="AP23" i="1"/>
  <c r="AP24" i="1"/>
  <c r="AP25" i="1"/>
  <c r="AP26" i="1"/>
  <c r="AP27" i="1"/>
  <c r="AP28" i="1"/>
  <c r="AP31" i="1"/>
  <c r="AP32" i="1"/>
  <c r="AP33" i="1"/>
  <c r="AP34" i="1"/>
  <c r="AP35" i="1"/>
  <c r="AP36" i="1"/>
  <c r="AP37" i="1"/>
  <c r="AP38" i="1"/>
  <c r="AP39" i="1"/>
  <c r="AP41" i="1"/>
  <c r="AP42" i="1"/>
  <c r="AP44" i="1"/>
  <c r="AP45" i="1"/>
  <c r="AP46" i="1"/>
  <c r="AP47" i="1"/>
  <c r="Y240" i="1"/>
  <c r="AP297" i="1" l="1"/>
  <c r="AQ297" i="1" s="1"/>
  <c r="AC297" i="1"/>
  <c r="Y270" i="1"/>
  <c r="X129" i="1"/>
  <c r="D15" i="3"/>
  <c r="D13" i="3"/>
  <c r="V112" i="1"/>
  <c r="W112" i="1" s="1"/>
  <c r="W128" i="1"/>
  <c r="Y116" i="1"/>
  <c r="AQ116" i="1" s="1"/>
  <c r="Y249" i="1"/>
  <c r="AQ249" i="1" s="1"/>
  <c r="V250" i="1"/>
  <c r="W248" i="1"/>
  <c r="X248" i="1"/>
  <c r="W244" i="1"/>
  <c r="V244" i="1"/>
  <c r="D26" i="3"/>
  <c r="D46" i="3"/>
  <c r="D45" i="3"/>
  <c r="D43" i="3"/>
  <c r="D42" i="3"/>
  <c r="D41" i="3"/>
  <c r="D40" i="3"/>
  <c r="D27" i="3"/>
  <c r="D25" i="3"/>
  <c r="D23" i="3"/>
  <c r="X112" i="1" l="1"/>
  <c r="Y112" i="1" s="1"/>
  <c r="W234" i="1"/>
  <c r="X233" i="1"/>
  <c r="W233" i="1"/>
  <c r="X221" i="1"/>
  <c r="W221" i="1"/>
  <c r="V221" i="1"/>
  <c r="U221" i="1"/>
  <c r="X218" i="1"/>
  <c r="AM112" i="1" l="1"/>
  <c r="Y221" i="1"/>
  <c r="AF112" i="1"/>
  <c r="AL112" i="1"/>
  <c r="AO112" i="1"/>
  <c r="AI112" i="1"/>
  <c r="J81" i="3"/>
  <c r="L81" i="3"/>
  <c r="I77" i="3"/>
  <c r="G77" i="3"/>
  <c r="D77" i="3"/>
  <c r="E77" i="3" s="1"/>
  <c r="K77" i="3"/>
  <c r="M77" i="3"/>
  <c r="O77"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7" i="3"/>
  <c r="O58" i="3"/>
  <c r="O59" i="3"/>
  <c r="O60" i="3"/>
  <c r="O61" i="3"/>
  <c r="O62" i="3"/>
  <c r="O63" i="3"/>
  <c r="O64" i="3"/>
  <c r="O65" i="3"/>
  <c r="O66" i="3"/>
  <c r="O67" i="3"/>
  <c r="O68" i="3"/>
  <c r="O69" i="3"/>
  <c r="O70" i="3"/>
  <c r="O71" i="3"/>
  <c r="O72" i="3"/>
  <c r="O73" i="3"/>
  <c r="O74" i="3"/>
  <c r="O75" i="3"/>
  <c r="O76" i="3"/>
  <c r="O78" i="3"/>
  <c r="O79" i="3"/>
  <c r="O80" i="3"/>
  <c r="O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8" i="3"/>
  <c r="M79" i="3"/>
  <c r="M80" i="3"/>
  <c r="M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8" i="3"/>
  <c r="K79" i="3"/>
  <c r="K80" i="3"/>
  <c r="K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5" i="3"/>
  <c r="I56" i="3"/>
  <c r="I57" i="3"/>
  <c r="I58" i="3"/>
  <c r="I59" i="3"/>
  <c r="I60" i="3"/>
  <c r="I61" i="3"/>
  <c r="I62" i="3"/>
  <c r="I63" i="3"/>
  <c r="I64" i="3"/>
  <c r="I65" i="3"/>
  <c r="I66" i="3"/>
  <c r="I67" i="3"/>
  <c r="I68" i="3"/>
  <c r="I69" i="3"/>
  <c r="I70" i="3"/>
  <c r="I71" i="3"/>
  <c r="I72" i="3"/>
  <c r="I73" i="3"/>
  <c r="I74" i="3"/>
  <c r="I75" i="3"/>
  <c r="I76" i="3"/>
  <c r="I78" i="3"/>
  <c r="I79" i="3"/>
  <c r="I80" i="3"/>
  <c r="I8" i="3"/>
  <c r="G9" i="3"/>
  <c r="G10" i="3"/>
  <c r="P10" i="3" s="1"/>
  <c r="G11" i="3"/>
  <c r="G12" i="3"/>
  <c r="G13" i="3"/>
  <c r="G14" i="3"/>
  <c r="P14" i="3" s="1"/>
  <c r="G15" i="3"/>
  <c r="G16" i="3"/>
  <c r="G17" i="3"/>
  <c r="G18" i="3"/>
  <c r="P18" i="3" s="1"/>
  <c r="G19" i="3"/>
  <c r="G20" i="3"/>
  <c r="G21" i="3"/>
  <c r="G22" i="3"/>
  <c r="P22" i="3" s="1"/>
  <c r="G23" i="3"/>
  <c r="G24" i="3"/>
  <c r="G25" i="3"/>
  <c r="G26" i="3"/>
  <c r="P26" i="3" s="1"/>
  <c r="G27" i="3"/>
  <c r="G28" i="3"/>
  <c r="G29" i="3"/>
  <c r="G30" i="3"/>
  <c r="P30" i="3" s="1"/>
  <c r="G31" i="3"/>
  <c r="G32" i="3"/>
  <c r="G33" i="3"/>
  <c r="G34" i="3"/>
  <c r="P34" i="3" s="1"/>
  <c r="G35" i="3"/>
  <c r="G36" i="3"/>
  <c r="G37" i="3"/>
  <c r="G38" i="3"/>
  <c r="G39" i="3"/>
  <c r="G40" i="3"/>
  <c r="G41" i="3"/>
  <c r="P41" i="3" s="1"/>
  <c r="G42" i="3"/>
  <c r="G43" i="3"/>
  <c r="G44" i="3"/>
  <c r="G45" i="3"/>
  <c r="P45" i="3" s="1"/>
  <c r="G46" i="3"/>
  <c r="G47" i="3"/>
  <c r="G48" i="3"/>
  <c r="G50" i="3"/>
  <c r="G51" i="3"/>
  <c r="G52" i="3"/>
  <c r="G53" i="3"/>
  <c r="P53" i="3" s="1"/>
  <c r="G54" i="3"/>
  <c r="G57" i="3"/>
  <c r="P57" i="3" s="1"/>
  <c r="G58" i="3"/>
  <c r="G60" i="3"/>
  <c r="G61" i="3"/>
  <c r="G62" i="3"/>
  <c r="G63" i="3"/>
  <c r="G64" i="3"/>
  <c r="G65" i="3"/>
  <c r="G66" i="3"/>
  <c r="G67" i="3"/>
  <c r="G68" i="3"/>
  <c r="G69" i="3"/>
  <c r="G70" i="3"/>
  <c r="G71" i="3"/>
  <c r="G72" i="3"/>
  <c r="G73" i="3"/>
  <c r="G74" i="3"/>
  <c r="G75" i="3"/>
  <c r="G76" i="3"/>
  <c r="G78" i="3"/>
  <c r="G79" i="3"/>
  <c r="G80" i="3"/>
  <c r="P80" i="3" s="1"/>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50" i="3"/>
  <c r="E51" i="3"/>
  <c r="E52" i="3"/>
  <c r="E53" i="3"/>
  <c r="E57" i="3"/>
  <c r="E58" i="3"/>
  <c r="E60" i="3"/>
  <c r="E61" i="3"/>
  <c r="E62" i="3"/>
  <c r="E63" i="3"/>
  <c r="E64" i="3"/>
  <c r="E65" i="3"/>
  <c r="E66" i="3"/>
  <c r="E67" i="3"/>
  <c r="E68" i="3"/>
  <c r="E69" i="3"/>
  <c r="E70" i="3"/>
  <c r="E71" i="3"/>
  <c r="E72" i="3"/>
  <c r="E73" i="3"/>
  <c r="E74" i="3"/>
  <c r="E75" i="3"/>
  <c r="E76" i="3"/>
  <c r="E78" i="3"/>
  <c r="E79" i="3"/>
  <c r="E80" i="3"/>
  <c r="E8" i="3"/>
  <c r="D59" i="3"/>
  <c r="AE279" i="1"/>
  <c r="AP112" i="1" l="1"/>
  <c r="AQ112" i="1" s="1"/>
  <c r="P74" i="3"/>
  <c r="P70" i="3"/>
  <c r="P66" i="3"/>
  <c r="P62" i="3"/>
  <c r="K81" i="3"/>
  <c r="M81" i="3"/>
  <c r="P73" i="3"/>
  <c r="P65" i="3"/>
  <c r="P48" i="3"/>
  <c r="P40" i="3"/>
  <c r="P33" i="3"/>
  <c r="P25" i="3"/>
  <c r="P17" i="3"/>
  <c r="P9" i="3"/>
  <c r="P79" i="3"/>
  <c r="P76" i="3"/>
  <c r="P72" i="3"/>
  <c r="P68" i="3"/>
  <c r="P64" i="3"/>
  <c r="P60" i="3"/>
  <c r="P51" i="3"/>
  <c r="P47" i="3"/>
  <c r="P43" i="3"/>
  <c r="P39" i="3"/>
  <c r="P36" i="3"/>
  <c r="P32" i="3"/>
  <c r="P28" i="3"/>
  <c r="P24" i="3"/>
  <c r="P20" i="3"/>
  <c r="P16" i="3"/>
  <c r="P12" i="3"/>
  <c r="P77" i="3"/>
  <c r="P69" i="3"/>
  <c r="P61" i="3"/>
  <c r="P52" i="3"/>
  <c r="P44" i="3"/>
  <c r="P37" i="3"/>
  <c r="P29" i="3"/>
  <c r="P21" i="3"/>
  <c r="P13" i="3"/>
  <c r="P78" i="3"/>
  <c r="P75" i="3"/>
  <c r="P71" i="3"/>
  <c r="P67" i="3"/>
  <c r="P63" i="3"/>
  <c r="P58" i="3"/>
  <c r="P50" i="3"/>
  <c r="P46" i="3"/>
  <c r="P42" i="3"/>
  <c r="P38" i="3"/>
  <c r="P35" i="3"/>
  <c r="P31" i="3"/>
  <c r="P27" i="3"/>
  <c r="P23" i="3"/>
  <c r="P19" i="3"/>
  <c r="P15" i="3"/>
  <c r="P11" i="3"/>
  <c r="E59" i="3"/>
  <c r="G59" i="3"/>
  <c r="P59" i="3" s="1"/>
  <c r="AN400" i="1" l="1"/>
  <c r="AK400" i="1"/>
  <c r="AH400" i="1"/>
  <c r="AK397" i="1"/>
  <c r="AH397" i="1"/>
  <c r="AE397" i="1"/>
  <c r="AB397" i="1"/>
  <c r="AK395" i="1"/>
  <c r="AH395" i="1"/>
  <c r="AE395" i="1"/>
  <c r="AB395" i="1"/>
  <c r="AK366" i="1"/>
  <c r="AH366" i="1"/>
  <c r="AE366" i="1"/>
  <c r="AN363" i="1"/>
  <c r="AN359" i="1"/>
  <c r="AN354" i="1"/>
  <c r="AN351" i="1"/>
  <c r="AN350" i="1"/>
  <c r="AN345" i="1"/>
  <c r="AK363" i="1"/>
  <c r="AK359" i="1"/>
  <c r="AK354" i="1"/>
  <c r="AK351" i="1"/>
  <c r="AK350" i="1"/>
  <c r="AK345" i="1"/>
  <c r="AH363" i="1"/>
  <c r="AH359" i="1"/>
  <c r="AH354" i="1"/>
  <c r="AH351" i="1"/>
  <c r="AH350" i="1"/>
  <c r="AH345" i="1"/>
  <c r="AE363" i="1"/>
  <c r="AE359" i="1"/>
  <c r="AE351" i="1"/>
  <c r="AE350" i="1"/>
  <c r="AE345" i="1"/>
  <c r="AB363" i="1"/>
  <c r="AB359" i="1"/>
  <c r="AB354" i="1"/>
  <c r="AB351" i="1"/>
  <c r="AB350" i="1"/>
  <c r="AN344" i="1"/>
  <c r="AK344" i="1"/>
  <c r="AK343" i="1"/>
  <c r="AH344" i="1"/>
  <c r="AH343" i="1"/>
  <c r="AE343" i="1"/>
  <c r="AB344" i="1"/>
  <c r="AB343" i="1"/>
  <c r="AK329" i="1"/>
  <c r="AH329" i="1"/>
  <c r="AN322" i="1"/>
  <c r="AN319" i="1"/>
  <c r="AN316" i="1"/>
  <c r="AK322" i="1"/>
  <c r="AK319" i="1"/>
  <c r="AK316" i="1"/>
  <c r="AH322" i="1"/>
  <c r="AH319" i="1"/>
  <c r="AH316" i="1"/>
  <c r="AE322" i="1"/>
  <c r="AE319" i="1"/>
  <c r="AE316" i="1"/>
  <c r="AN308" i="1"/>
  <c r="AK308" i="1"/>
  <c r="AH308" i="1"/>
  <c r="AE308" i="1"/>
  <c r="AB308" i="1"/>
  <c r="AN302" i="1"/>
  <c r="AK302" i="1"/>
  <c r="AH302" i="1"/>
  <c r="AE302" i="1"/>
  <c r="AB302" i="1"/>
  <c r="AN295" i="1"/>
  <c r="AK295" i="1"/>
  <c r="AH295" i="1"/>
  <c r="AE295" i="1"/>
  <c r="AN290" i="1"/>
  <c r="AK290" i="1"/>
  <c r="AH290" i="1"/>
  <c r="AE290" i="1"/>
  <c r="AN288" i="1"/>
  <c r="AK288" i="1"/>
  <c r="AH288" i="1"/>
  <c r="AE288" i="1"/>
  <c r="AB288" i="1"/>
  <c r="AN279" i="1"/>
  <c r="AK279" i="1"/>
  <c r="AH279" i="1"/>
  <c r="AN274" i="1"/>
  <c r="AH274" i="1"/>
  <c r="AE274" i="1"/>
  <c r="AB274" i="1"/>
  <c r="AN271" i="1"/>
  <c r="AK271" i="1"/>
  <c r="AH271" i="1"/>
  <c r="AE271" i="1"/>
  <c r="AN264" i="1"/>
  <c r="AN257" i="1"/>
  <c r="AN256" i="1"/>
  <c r="AN254" i="1"/>
  <c r="AN253" i="1"/>
  <c r="AN245" i="1"/>
  <c r="AN243" i="1"/>
  <c r="AK269" i="1"/>
  <c r="AK264" i="1"/>
  <c r="AK257" i="1"/>
  <c r="AK256" i="1"/>
  <c r="AK254" i="1"/>
  <c r="AK253" i="1"/>
  <c r="AK250" i="1"/>
  <c r="AK245" i="1"/>
  <c r="AK243" i="1"/>
  <c r="AK240" i="1"/>
  <c r="AH269" i="1"/>
  <c r="AH264" i="1"/>
  <c r="AH257" i="1"/>
  <c r="AH256" i="1"/>
  <c r="AH254" i="1"/>
  <c r="AH253" i="1"/>
  <c r="AH250" i="1"/>
  <c r="AH245" i="1"/>
  <c r="AH243" i="1"/>
  <c r="AH240" i="1"/>
  <c r="AE269" i="1"/>
  <c r="AE264" i="1"/>
  <c r="AE256" i="1"/>
  <c r="AE254" i="1"/>
  <c r="AE253" i="1"/>
  <c r="AE245" i="1"/>
  <c r="AE243" i="1"/>
  <c r="AE240" i="1"/>
  <c r="AN239" i="1"/>
  <c r="AN233" i="1"/>
  <c r="AN230" i="1"/>
  <c r="AN227" i="1"/>
  <c r="AN223" i="1"/>
  <c r="AK239" i="1"/>
  <c r="AK233" i="1"/>
  <c r="AK230" i="1"/>
  <c r="AK227" i="1"/>
  <c r="AK223" i="1"/>
  <c r="AH239" i="1"/>
  <c r="AH233" i="1"/>
  <c r="AH230" i="1"/>
  <c r="AH227" i="1"/>
  <c r="AH223" i="1"/>
  <c r="AE239" i="1"/>
  <c r="AE233" i="1"/>
  <c r="AE230" i="1"/>
  <c r="AE223" i="1"/>
  <c r="AB239" i="1"/>
  <c r="AB233" i="1"/>
  <c r="AB230" i="1"/>
  <c r="AB227" i="1"/>
  <c r="AN219" i="1"/>
  <c r="AN211" i="1"/>
  <c r="AK219" i="1"/>
  <c r="AK211" i="1"/>
  <c r="AH219" i="1"/>
  <c r="AH211" i="1"/>
  <c r="AE211" i="1"/>
  <c r="AB211" i="1"/>
  <c r="AN203" i="1"/>
  <c r="AN200" i="1"/>
  <c r="AK203" i="1"/>
  <c r="AK200" i="1"/>
  <c r="AH203" i="1"/>
  <c r="AH200" i="1"/>
  <c r="AE203" i="1"/>
  <c r="AE200" i="1"/>
  <c r="AB200" i="1"/>
  <c r="AN193" i="1"/>
  <c r="AK198" i="1"/>
  <c r="AK193" i="1"/>
  <c r="AK192" i="1"/>
  <c r="AK189" i="1"/>
  <c r="AH193" i="1"/>
  <c r="AH189" i="1"/>
  <c r="AE193" i="1"/>
  <c r="AB189" i="1"/>
  <c r="AK167" i="1"/>
  <c r="AH167" i="1"/>
  <c r="AB167" i="1"/>
  <c r="AN164" i="1"/>
  <c r="AN162" i="1"/>
  <c r="AN161" i="1"/>
  <c r="AN155" i="1"/>
  <c r="AN154" i="1"/>
  <c r="AN151" i="1"/>
  <c r="AN143" i="1"/>
  <c r="AK164" i="1"/>
  <c r="AK162" i="1"/>
  <c r="AK161" i="1"/>
  <c r="AK157" i="1"/>
  <c r="AK155" i="1"/>
  <c r="AK154" i="1"/>
  <c r="AK151" i="1"/>
  <c r="AK143" i="1"/>
  <c r="AH164" i="1"/>
  <c r="AH162" i="1"/>
  <c r="AH161" i="1"/>
  <c r="AH157" i="1"/>
  <c r="AH155" i="1"/>
  <c r="AH154" i="1"/>
  <c r="AH151" i="1"/>
  <c r="AH143" i="1"/>
  <c r="AE164" i="1"/>
  <c r="AE162" i="1"/>
  <c r="AE161" i="1"/>
  <c r="AE157" i="1"/>
  <c r="AE155" i="1"/>
  <c r="AE154" i="1"/>
  <c r="AE143" i="1"/>
  <c r="AB161" i="1"/>
  <c r="AB157" i="1"/>
  <c r="AB155" i="1"/>
  <c r="AB154" i="1"/>
  <c r="AB151" i="1"/>
  <c r="AB143" i="1"/>
  <c r="AK142" i="1"/>
  <c r="AK137" i="1"/>
  <c r="AK130" i="1"/>
  <c r="AK127" i="1"/>
  <c r="AH142" i="1"/>
  <c r="AH137" i="1"/>
  <c r="AH130" i="1"/>
  <c r="AH127" i="1"/>
  <c r="AE142" i="1"/>
  <c r="AE137" i="1"/>
  <c r="AE130" i="1"/>
  <c r="AB142" i="1"/>
  <c r="AB137" i="1"/>
  <c r="AB130" i="1"/>
  <c r="AB127" i="1"/>
  <c r="AN46" i="1"/>
  <c r="AN39" i="1"/>
  <c r="AN8" i="1"/>
  <c r="AK46" i="1"/>
  <c r="AK8" i="1"/>
  <c r="AH46" i="1"/>
  <c r="AH39" i="1"/>
  <c r="AH8" i="1"/>
  <c r="AE46" i="1"/>
  <c r="AE8" i="1"/>
  <c r="AB39" i="1"/>
  <c r="AA256" i="1"/>
  <c r="AB256" i="1" s="1"/>
  <c r="AM250" i="1"/>
  <c r="AN250" i="1" s="1"/>
  <c r="AD250" i="1"/>
  <c r="AA240" i="1"/>
  <c r="AP240" i="1" s="1"/>
  <c r="AQ240" i="1" s="1"/>
  <c r="Y241" i="1"/>
  <c r="Y242" i="1"/>
  <c r="Y243" i="1"/>
  <c r="Y244" i="1"/>
  <c r="Y245" i="1"/>
  <c r="Y246" i="1"/>
  <c r="Y247" i="1"/>
  <c r="Y248" i="1"/>
  <c r="Y250" i="1"/>
  <c r="Y251" i="1"/>
  <c r="Y252" i="1"/>
  <c r="Y253" i="1"/>
  <c r="Y254" i="1"/>
  <c r="Y255" i="1"/>
  <c r="Y256" i="1"/>
  <c r="Y257" i="1"/>
  <c r="Y258" i="1"/>
  <c r="Y259" i="1"/>
  <c r="Y260" i="1"/>
  <c r="Y261" i="1"/>
  <c r="Y264" i="1"/>
  <c r="Y265" i="1"/>
  <c r="Y266" i="1"/>
  <c r="Y267" i="1"/>
  <c r="Y268" i="1"/>
  <c r="Y269" i="1"/>
  <c r="AL270" i="1"/>
  <c r="AI240" i="1"/>
  <c r="I250" i="1"/>
  <c r="AI254" i="1" l="1"/>
  <c r="AC250" i="1"/>
  <c r="AQ250" i="1"/>
  <c r="AA267" i="1"/>
  <c r="AP267" i="1" s="1"/>
  <c r="AQ267" i="1" s="1"/>
  <c r="AF261" i="1"/>
  <c r="AI253" i="1"/>
  <c r="AA248" i="1"/>
  <c r="AP248" i="1" s="1"/>
  <c r="AQ248" i="1" s="1"/>
  <c r="AC244" i="1"/>
  <c r="AQ244" i="1"/>
  <c r="AL258" i="1"/>
  <c r="AA241" i="1"/>
  <c r="AB240" i="1" s="1"/>
  <c r="AA268" i="1"/>
  <c r="AP268" i="1" s="1"/>
  <c r="AQ268" i="1" s="1"/>
  <c r="AA266" i="1"/>
  <c r="AP266" i="1" s="1"/>
  <c r="AQ266" i="1" s="1"/>
  <c r="AA260" i="1"/>
  <c r="AP260" i="1" s="1"/>
  <c r="AQ260" i="1"/>
  <c r="AI256" i="1"/>
  <c r="AQ256" i="1"/>
  <c r="AF251" i="1"/>
  <c r="AL248" i="1"/>
  <c r="AL243" i="1"/>
  <c r="AI269" i="1"/>
  <c r="AA265" i="1"/>
  <c r="AP265" i="1" s="1"/>
  <c r="AQ265" i="1"/>
  <c r="AL259" i="1"/>
  <c r="AF255" i="1"/>
  <c r="AF252" i="1"/>
  <c r="AF246" i="1"/>
  <c r="AM242" i="1"/>
  <c r="AL257" i="1"/>
  <c r="Z257" i="1"/>
  <c r="D54" i="3" s="1"/>
  <c r="E54" i="3" s="1"/>
  <c r="AF242" i="1"/>
  <c r="AI252" i="1"/>
  <c r="AF264" i="1"/>
  <c r="Z264" i="1"/>
  <c r="D55" i="3" s="1"/>
  <c r="F55" i="3" s="1"/>
  <c r="AI245" i="1"/>
  <c r="Z245" i="1"/>
  <c r="D49" i="3" s="1"/>
  <c r="AI255" i="1"/>
  <c r="AI251" i="1"/>
  <c r="AL269" i="1"/>
  <c r="AF248" i="1"/>
  <c r="AI264" i="1"/>
  <c r="AL245" i="1"/>
  <c r="AF258" i="1"/>
  <c r="AF250" i="1"/>
  <c r="AI242" i="1"/>
  <c r="Z256" i="1"/>
  <c r="AF241" i="1"/>
  <c r="AA243" i="1"/>
  <c r="AP243" i="1" s="1"/>
  <c r="AQ243" i="1" s="1"/>
  <c r="AI246" i="1"/>
  <c r="AL250" i="1"/>
  <c r="AL252" i="1"/>
  <c r="AL255" i="1"/>
  <c r="AA259" i="1"/>
  <c r="AL264" i="1"/>
  <c r="Z250" i="1"/>
  <c r="AE250" i="1"/>
  <c r="AI241" i="1"/>
  <c r="AI243" i="1"/>
  <c r="AL246" i="1"/>
  <c r="AF254" i="1"/>
  <c r="AF259" i="1"/>
  <c r="Z240" i="1"/>
  <c r="Z253" i="1"/>
  <c r="AF245" i="1"/>
  <c r="AL254" i="1"/>
  <c r="AA258" i="1"/>
  <c r="AP258" i="1" s="1"/>
  <c r="AQ258" i="1" s="1"/>
  <c r="AF269" i="1"/>
  <c r="Z243" i="1"/>
  <c r="Z254" i="1"/>
  <c r="Z269" i="1"/>
  <c r="D56" i="3" s="1"/>
  <c r="E56" i="3" s="1"/>
  <c r="AC240" i="1"/>
  <c r="AI244" i="1"/>
  <c r="AI248" i="1"/>
  <c r="AF256" i="1"/>
  <c r="AI257" i="1"/>
  <c r="AL261" i="1"/>
  <c r="AF270" i="1"/>
  <c r="AF240" i="1"/>
  <c r="AL240" i="1"/>
  <c r="AL241" i="1"/>
  <c r="AL242" i="1"/>
  <c r="AF243" i="1"/>
  <c r="AL244" i="1"/>
  <c r="AA246" i="1"/>
  <c r="AP246" i="1" s="1"/>
  <c r="AQ246" i="1" s="1"/>
  <c r="AA247" i="1"/>
  <c r="AI250" i="1"/>
  <c r="AA251" i="1"/>
  <c r="AP251" i="1" s="1"/>
  <c r="AQ251" i="1" s="1"/>
  <c r="AA252" i="1"/>
  <c r="AA253" i="1"/>
  <c r="AF253" i="1"/>
  <c r="AL253" i="1"/>
  <c r="AA255" i="1"/>
  <c r="AC257" i="1"/>
  <c r="AI258" i="1"/>
  <c r="AI259" i="1"/>
  <c r="AA264" i="1"/>
  <c r="AM269" i="1"/>
  <c r="AI270" i="1"/>
  <c r="AF244" i="1"/>
  <c r="AI261" i="1"/>
  <c r="AL251" i="1"/>
  <c r="AL256" i="1"/>
  <c r="AA261" i="1"/>
  <c r="AC242" i="1"/>
  <c r="AA245" i="1"/>
  <c r="AP245" i="1" s="1"/>
  <c r="AQ245" i="1" s="1"/>
  <c r="AA254" i="1"/>
  <c r="AC256" i="1"/>
  <c r="AD257" i="1"/>
  <c r="AC269" i="1"/>
  <c r="AA270" i="1"/>
  <c r="AP270" i="1" s="1"/>
  <c r="AQ270" i="1" s="1"/>
  <c r="AC251" i="1"/>
  <c r="AN240" i="1" l="1"/>
  <c r="AP242" i="1"/>
  <c r="AQ242" i="1" s="1"/>
  <c r="AN269" i="1"/>
  <c r="N56" i="3" s="1"/>
  <c r="O56" i="3" s="1"/>
  <c r="AP269" i="1"/>
  <c r="AQ269" i="1" s="1"/>
  <c r="AB253" i="1"/>
  <c r="AP253" i="1"/>
  <c r="AQ253" i="1" s="1"/>
  <c r="AC259" i="1"/>
  <c r="AP259" i="1"/>
  <c r="AQ259" i="1" s="1"/>
  <c r="AC241" i="1"/>
  <c r="AP241" i="1"/>
  <c r="AQ241" i="1" s="1"/>
  <c r="AC261" i="1"/>
  <c r="AP261" i="1"/>
  <c r="AQ261" i="1" s="1"/>
  <c r="AC254" i="1"/>
  <c r="AP254" i="1"/>
  <c r="AQ254" i="1" s="1"/>
  <c r="AC248" i="1"/>
  <c r="AP247" i="1"/>
  <c r="AQ247" i="1" s="1"/>
  <c r="AE257" i="1"/>
  <c r="H54" i="3" s="1"/>
  <c r="I54" i="3" s="1"/>
  <c r="AP257" i="1"/>
  <c r="AQ257" i="1" s="1"/>
  <c r="AB264" i="1"/>
  <c r="AP264" i="1"/>
  <c r="AQ264" i="1" s="1"/>
  <c r="AC255" i="1"/>
  <c r="AP255" i="1"/>
  <c r="AQ255" i="1" s="1"/>
  <c r="AC252" i="1"/>
  <c r="AP252" i="1"/>
  <c r="AQ252" i="1" s="1"/>
  <c r="AC258" i="1"/>
  <c r="AB257" i="1"/>
  <c r="AB245" i="1"/>
  <c r="G55" i="3"/>
  <c r="P55" i="3" s="1"/>
  <c r="E55" i="3"/>
  <c r="E49" i="3"/>
  <c r="D81" i="3"/>
  <c r="AB269" i="1"/>
  <c r="AB250" i="1"/>
  <c r="AB254" i="1"/>
  <c r="AC264" i="1"/>
  <c r="AC243" i="1"/>
  <c r="AB243" i="1"/>
  <c r="AF257" i="1"/>
  <c r="AC253" i="1"/>
  <c r="AC270" i="1"/>
  <c r="E81" i="3" l="1"/>
  <c r="H81" i="3"/>
  <c r="N81" i="3"/>
  <c r="F56" i="3"/>
  <c r="G56" i="3" s="1"/>
  <c r="P56" i="3" s="1"/>
  <c r="F49" i="3"/>
  <c r="G49" i="3" s="1"/>
  <c r="P49" i="3" s="1"/>
  <c r="I81" i="3"/>
  <c r="P54" i="3"/>
  <c r="O81" i="3"/>
  <c r="Y168" i="1"/>
  <c r="Y169" i="1"/>
  <c r="Y170" i="1"/>
  <c r="Y171" i="1"/>
  <c r="Y172" i="1"/>
  <c r="Y173" i="1"/>
  <c r="Y174" i="1"/>
  <c r="Y175" i="1"/>
  <c r="Y176" i="1"/>
  <c r="Y177" i="1"/>
  <c r="Y178" i="1"/>
  <c r="Y179" i="1"/>
  <c r="Y167" i="1"/>
  <c r="AM178" i="1" l="1"/>
  <c r="AP178" i="1" s="1"/>
  <c r="AQ178" i="1" s="1"/>
  <c r="AM170" i="1"/>
  <c r="AP170" i="1" s="1"/>
  <c r="AQ170" i="1"/>
  <c r="AM177" i="1"/>
  <c r="AP177" i="1" s="1"/>
  <c r="AQ177" i="1" s="1"/>
  <c r="AM169" i="1"/>
  <c r="AP169" i="1" s="1"/>
  <c r="AQ169" i="1"/>
  <c r="AD176" i="1"/>
  <c r="AP176" i="1" s="1"/>
  <c r="AQ176" i="1" s="1"/>
  <c r="AM172" i="1"/>
  <c r="AP172" i="1" s="1"/>
  <c r="AQ172" i="1" s="1"/>
  <c r="AM168" i="1"/>
  <c r="AP168" i="1" s="1"/>
  <c r="AQ168" i="1" s="1"/>
  <c r="AD174" i="1"/>
  <c r="AP174" i="1" s="1"/>
  <c r="AQ174" i="1" s="1"/>
  <c r="AD173" i="1"/>
  <c r="AP173" i="1" s="1"/>
  <c r="AQ173" i="1"/>
  <c r="AM179" i="1"/>
  <c r="AP179" i="1" s="1"/>
  <c r="AQ179" i="1" s="1"/>
  <c r="AD175" i="1"/>
  <c r="AP175" i="1" s="1"/>
  <c r="AQ175" i="1" s="1"/>
  <c r="AD171" i="1"/>
  <c r="AP171" i="1" s="1"/>
  <c r="AQ171" i="1" s="1"/>
  <c r="AM167" i="1"/>
  <c r="Z167" i="1"/>
  <c r="Y399" i="1"/>
  <c r="Y398" i="1"/>
  <c r="Y397" i="1"/>
  <c r="Y396" i="1"/>
  <c r="Y395" i="1"/>
  <c r="Y394" i="1"/>
  <c r="Y393" i="1"/>
  <c r="Y392" i="1"/>
  <c r="Y391" i="1"/>
  <c r="Y390" i="1"/>
  <c r="Y389" i="1"/>
  <c r="AI389" i="1" s="1"/>
  <c r="Y388" i="1"/>
  <c r="Y387" i="1"/>
  <c r="Y386" i="1"/>
  <c r="Y385" i="1"/>
  <c r="AI385" i="1" s="1"/>
  <c r="Y384" i="1"/>
  <c r="Y383" i="1"/>
  <c r="Y382" i="1"/>
  <c r="Y381" i="1"/>
  <c r="AI381" i="1" s="1"/>
  <c r="Y380" i="1"/>
  <c r="Y379" i="1"/>
  <c r="V378" i="1"/>
  <c r="O378" i="1"/>
  <c r="P378" i="1" s="1"/>
  <c r="Q378" i="1" s="1"/>
  <c r="R378" i="1" s="1"/>
  <c r="N378" i="1"/>
  <c r="V377" i="1"/>
  <c r="O377" i="1"/>
  <c r="P377" i="1" s="1"/>
  <c r="Q377" i="1" s="1"/>
  <c r="R377" i="1" s="1"/>
  <c r="V376" i="1"/>
  <c r="W376" i="1" s="1"/>
  <c r="X376" i="1" s="1"/>
  <c r="V375" i="1"/>
  <c r="W375" i="1" s="1"/>
  <c r="X375" i="1" s="1"/>
  <c r="Y374" i="1"/>
  <c r="Y373" i="1"/>
  <c r="Y372" i="1"/>
  <c r="V371" i="1"/>
  <c r="W371" i="1" s="1"/>
  <c r="T371" i="1"/>
  <c r="V370" i="1"/>
  <c r="W370" i="1" s="1"/>
  <c r="X370" i="1" s="1"/>
  <c r="T370" i="1"/>
  <c r="W369" i="1"/>
  <c r="X369" i="1" s="1"/>
  <c r="Y369" i="1" s="1"/>
  <c r="AQ369" i="1" s="1"/>
  <c r="T369" i="1"/>
  <c r="V368" i="1"/>
  <c r="W368" i="1" s="1"/>
  <c r="X368" i="1" s="1"/>
  <c r="Y368" i="1" s="1"/>
  <c r="AQ368" i="1" s="1"/>
  <c r="T368" i="1"/>
  <c r="V367" i="1"/>
  <c r="T367" i="1"/>
  <c r="Y366" i="1"/>
  <c r="AQ366" i="1" s="1"/>
  <c r="T366" i="1"/>
  <c r="AE167" i="1" l="1"/>
  <c r="AN167" i="1"/>
  <c r="AP167" i="1"/>
  <c r="AQ167" i="1" s="1"/>
  <c r="AI379" i="1"/>
  <c r="AQ379" i="1"/>
  <c r="AI383" i="1"/>
  <c r="AI387" i="1"/>
  <c r="AI391" i="1"/>
  <c r="AI399" i="1"/>
  <c r="AQ399" i="1"/>
  <c r="AI372" i="1"/>
  <c r="AQ372" i="1"/>
  <c r="AF380" i="1"/>
  <c r="AC384" i="1"/>
  <c r="AC388" i="1"/>
  <c r="AC392" i="1"/>
  <c r="AI396" i="1"/>
  <c r="AI373" i="1"/>
  <c r="AQ373" i="1"/>
  <c r="AI393" i="1"/>
  <c r="AQ393" i="1"/>
  <c r="AF374" i="1"/>
  <c r="AQ374" i="1"/>
  <c r="AC382" i="1"/>
  <c r="AC386" i="1"/>
  <c r="AC390" i="1"/>
  <c r="AM394" i="1"/>
  <c r="AP394" i="1" s="1"/>
  <c r="AQ394" i="1" s="1"/>
  <c r="AC398" i="1"/>
  <c r="AF366" i="1"/>
  <c r="AI374" i="1"/>
  <c r="AM397" i="1"/>
  <c r="AP397" i="1" s="1"/>
  <c r="AQ397" i="1" s="1"/>
  <c r="Z397" i="1"/>
  <c r="AM395" i="1"/>
  <c r="AP395" i="1" s="1"/>
  <c r="AQ395" i="1" s="1"/>
  <c r="Z395" i="1"/>
  <c r="AF388" i="1"/>
  <c r="AF398" i="1"/>
  <c r="AF386" i="1"/>
  <c r="AI398" i="1"/>
  <c r="AC374" i="1"/>
  <c r="AI366" i="1"/>
  <c r="AF384" i="1"/>
  <c r="AF392" i="1"/>
  <c r="AC394" i="1"/>
  <c r="AC366" i="1"/>
  <c r="AC372" i="1"/>
  <c r="W377" i="1"/>
  <c r="X377" i="1" s="1"/>
  <c r="AF382" i="1"/>
  <c r="AF390" i="1"/>
  <c r="AF394" i="1"/>
  <c r="AI395" i="1"/>
  <c r="AC399" i="1"/>
  <c r="AI394" i="1"/>
  <c r="AC395" i="1"/>
  <c r="AI368" i="1"/>
  <c r="AF368" i="1"/>
  <c r="AC368" i="1"/>
  <c r="AI369" i="1"/>
  <c r="AF369" i="1"/>
  <c r="AC369" i="1"/>
  <c r="AM387" i="1"/>
  <c r="AP387" i="1" s="1"/>
  <c r="AQ387" i="1" s="1"/>
  <c r="AM396" i="1"/>
  <c r="AP396" i="1" s="1"/>
  <c r="AQ396" i="1" s="1"/>
  <c r="W367" i="1"/>
  <c r="X367" i="1" s="1"/>
  <c r="Y370" i="1"/>
  <c r="AQ370" i="1" s="1"/>
  <c r="X371" i="1"/>
  <c r="Y371" i="1" s="1"/>
  <c r="AQ371" i="1" s="1"/>
  <c r="AF372" i="1"/>
  <c r="AC373" i="1"/>
  <c r="Y375" i="1"/>
  <c r="AQ375" i="1" s="1"/>
  <c r="Y376" i="1"/>
  <c r="AQ376" i="1" s="1"/>
  <c r="W378" i="1"/>
  <c r="X378" i="1" s="1"/>
  <c r="AC379" i="1"/>
  <c r="AI380" i="1"/>
  <c r="AC381" i="1"/>
  <c r="AI382" i="1"/>
  <c r="AC383" i="1"/>
  <c r="AI384" i="1"/>
  <c r="AC385" i="1"/>
  <c r="AI386" i="1"/>
  <c r="AC387" i="1"/>
  <c r="AI388" i="1"/>
  <c r="AC389" i="1"/>
  <c r="AI390" i="1"/>
  <c r="AC391" i="1"/>
  <c r="AI392" i="1"/>
  <c r="AC393" i="1"/>
  <c r="AC396" i="1"/>
  <c r="AC397" i="1"/>
  <c r="AI397" i="1"/>
  <c r="AM398" i="1"/>
  <c r="AP398" i="1" s="1"/>
  <c r="AQ398" i="1" s="1"/>
  <c r="AF399" i="1"/>
  <c r="AM381" i="1"/>
  <c r="AP381" i="1" s="1"/>
  <c r="AQ381" i="1" s="1"/>
  <c r="AM383" i="1"/>
  <c r="AP383" i="1" s="1"/>
  <c r="AQ383" i="1" s="1"/>
  <c r="AM391" i="1"/>
  <c r="AP391" i="1" s="1"/>
  <c r="AQ391" i="1" s="1"/>
  <c r="AF373" i="1"/>
  <c r="AF379" i="1"/>
  <c r="AA380" i="1"/>
  <c r="AF381" i="1"/>
  <c r="AM382" i="1"/>
  <c r="AP382" i="1" s="1"/>
  <c r="AQ382" i="1" s="1"/>
  <c r="AF383" i="1"/>
  <c r="AM384" i="1"/>
  <c r="AP384" i="1" s="1"/>
  <c r="AQ384" i="1" s="1"/>
  <c r="AF385" i="1"/>
  <c r="AM386" i="1"/>
  <c r="AP386" i="1" s="1"/>
  <c r="AQ386" i="1" s="1"/>
  <c r="AF387" i="1"/>
  <c r="AM388" i="1"/>
  <c r="AP388" i="1" s="1"/>
  <c r="AQ388" i="1" s="1"/>
  <c r="AF389" i="1"/>
  <c r="AM390" i="1"/>
  <c r="AP390" i="1" s="1"/>
  <c r="AQ390" i="1" s="1"/>
  <c r="AF391" i="1"/>
  <c r="AM392" i="1"/>
  <c r="AP392" i="1" s="1"/>
  <c r="AQ392" i="1" s="1"/>
  <c r="AF393" i="1"/>
  <c r="AF395" i="1"/>
  <c r="AF396" i="1"/>
  <c r="AM385" i="1"/>
  <c r="AP385" i="1" s="1"/>
  <c r="AQ385" i="1" s="1"/>
  <c r="AM389" i="1"/>
  <c r="AP389" i="1" s="1"/>
  <c r="AQ389" i="1" s="1"/>
  <c r="AF397" i="1"/>
  <c r="AB366" i="1" l="1"/>
  <c r="AN397" i="1"/>
  <c r="AN395" i="1"/>
  <c r="Y378" i="1"/>
  <c r="AI378" i="1" s="1"/>
  <c r="Y377" i="1"/>
  <c r="AQ377" i="1" s="1"/>
  <c r="AC371" i="1"/>
  <c r="AI371" i="1"/>
  <c r="AF371" i="1"/>
  <c r="AC380" i="1"/>
  <c r="AF376" i="1"/>
  <c r="AC376" i="1"/>
  <c r="AI376" i="1"/>
  <c r="AF375" i="1"/>
  <c r="AI375" i="1"/>
  <c r="AC375" i="1"/>
  <c r="AF370" i="1"/>
  <c r="AC370" i="1"/>
  <c r="AI370" i="1"/>
  <c r="AM380" i="1"/>
  <c r="AN366" i="1" s="1"/>
  <c r="Y367" i="1"/>
  <c r="AQ367" i="1" s="1"/>
  <c r="AP380" i="1" l="1"/>
  <c r="AQ380" i="1" s="1"/>
  <c r="AF378" i="1"/>
  <c r="AQ378" i="1"/>
  <c r="AC378" i="1"/>
  <c r="Z366" i="1"/>
  <c r="AI377" i="1"/>
  <c r="AF377" i="1"/>
  <c r="AC377" i="1"/>
  <c r="AC367" i="1"/>
  <c r="AI367" i="1"/>
  <c r="AF367" i="1"/>
  <c r="Y160" i="1" l="1"/>
  <c r="AM160" i="1" s="1"/>
  <c r="Y162" i="1"/>
  <c r="AP239" i="1"/>
  <c r="Y239" i="1"/>
  <c r="Z239" i="1" s="1"/>
  <c r="AP238" i="1"/>
  <c r="X238" i="1"/>
  <c r="W238" i="1"/>
  <c r="T238" i="1"/>
  <c r="Y237" i="1"/>
  <c r="T237" i="1"/>
  <c r="AP236" i="1"/>
  <c r="Y236" i="1"/>
  <c r="AO236" i="1" s="1"/>
  <c r="T236" i="1"/>
  <c r="AP235" i="1"/>
  <c r="X235" i="1"/>
  <c r="W235" i="1"/>
  <c r="V235" i="1"/>
  <c r="U235" i="1"/>
  <c r="T235" i="1"/>
  <c r="AP234" i="1"/>
  <c r="Y234" i="1"/>
  <c r="AO234" i="1" s="1"/>
  <c r="T234" i="1"/>
  <c r="AP233" i="1"/>
  <c r="Y233" i="1"/>
  <c r="T233" i="1"/>
  <c r="Y232" i="1"/>
  <c r="AQ232" i="1" s="1"/>
  <c r="T232" i="1"/>
  <c r="Y231" i="1"/>
  <c r="AQ231" i="1" s="1"/>
  <c r="T231" i="1"/>
  <c r="AP230" i="1"/>
  <c r="Y230" i="1"/>
  <c r="T230" i="1"/>
  <c r="Y229" i="1"/>
  <c r="AQ229" i="1" s="1"/>
  <c r="Y228" i="1"/>
  <c r="AQ228" i="1" s="1"/>
  <c r="AD227" i="1"/>
  <c r="AE227" i="1" s="1"/>
  <c r="Y227" i="1"/>
  <c r="T227" i="1"/>
  <c r="Y226" i="1"/>
  <c r="AO226" i="1" s="1"/>
  <c r="T226" i="1"/>
  <c r="Y224" i="1"/>
  <c r="AF224" i="1" s="1"/>
  <c r="T224" i="1"/>
  <c r="Y223" i="1"/>
  <c r="AA223" i="1" s="1"/>
  <c r="T223" i="1"/>
  <c r="AD222" i="1"/>
  <c r="AE219" i="1" s="1"/>
  <c r="AA222" i="1"/>
  <c r="AB219" i="1" s="1"/>
  <c r="X222" i="1"/>
  <c r="W222" i="1"/>
  <c r="V222" i="1"/>
  <c r="T222" i="1"/>
  <c r="AP221" i="1"/>
  <c r="T221" i="1"/>
  <c r="AP220" i="1"/>
  <c r="V220" i="1"/>
  <c r="Y220" i="1" s="1"/>
  <c r="T220" i="1"/>
  <c r="AP219" i="1"/>
  <c r="X219" i="1"/>
  <c r="W219" i="1"/>
  <c r="V219" i="1"/>
  <c r="U219" i="1"/>
  <c r="T219" i="1"/>
  <c r="AP218" i="1"/>
  <c r="V218" i="1"/>
  <c r="U218" i="1"/>
  <c r="T218" i="1"/>
  <c r="AP217" i="1"/>
  <c r="Y217" i="1"/>
  <c r="T217" i="1"/>
  <c r="AP216" i="1"/>
  <c r="Y216" i="1"/>
  <c r="AL216" i="1" s="1"/>
  <c r="T216" i="1"/>
  <c r="AP215" i="1"/>
  <c r="Y215" i="1"/>
  <c r="AL215" i="1" s="1"/>
  <c r="T215" i="1"/>
  <c r="AP214" i="1"/>
  <c r="Y214" i="1"/>
  <c r="AO214" i="1" s="1"/>
  <c r="T214" i="1"/>
  <c r="AP212" i="1"/>
  <c r="Y212" i="1"/>
  <c r="T212" i="1"/>
  <c r="AP211" i="1"/>
  <c r="Y211" i="1"/>
  <c r="T211" i="1"/>
  <c r="AP161" i="1"/>
  <c r="Y161" i="1"/>
  <c r="T161" i="1"/>
  <c r="AF160" i="1"/>
  <c r="AC160" i="1"/>
  <c r="AP159" i="1"/>
  <c r="Y159" i="1"/>
  <c r="AO159" i="1" s="1"/>
  <c r="T159" i="1"/>
  <c r="Y158" i="1"/>
  <c r="AQ158" i="1" s="1"/>
  <c r="T158" i="1"/>
  <c r="AP157" i="1"/>
  <c r="Y157" i="1"/>
  <c r="T157" i="1"/>
  <c r="AP156" i="1"/>
  <c r="Y156" i="1"/>
  <c r="AF156" i="1" s="1"/>
  <c r="R156" i="1"/>
  <c r="T156" i="1" s="1"/>
  <c r="AP155" i="1"/>
  <c r="X155" i="1"/>
  <c r="W155" i="1"/>
  <c r="T155" i="1"/>
  <c r="AP154" i="1"/>
  <c r="Y154" i="1"/>
  <c r="T154" i="1"/>
  <c r="AD153" i="1"/>
  <c r="Y153" i="1"/>
  <c r="T153" i="1"/>
  <c r="AP152" i="1"/>
  <c r="Y152" i="1"/>
  <c r="AF152" i="1" s="1"/>
  <c r="T152" i="1"/>
  <c r="AP151" i="1"/>
  <c r="Y151" i="1"/>
  <c r="T151" i="1"/>
  <c r="AP150" i="1"/>
  <c r="AQ150" i="1" s="1"/>
  <c r="AO150" i="1"/>
  <c r="AL150" i="1"/>
  <c r="AI150" i="1"/>
  <c r="AF150" i="1"/>
  <c r="T150" i="1"/>
  <c r="AP149" i="1"/>
  <c r="Y149" i="1"/>
  <c r="AO149" i="1" s="1"/>
  <c r="T149" i="1"/>
  <c r="AP148" i="1"/>
  <c r="Y148" i="1"/>
  <c r="AO148" i="1" s="1"/>
  <c r="T148" i="1"/>
  <c r="AP147" i="1"/>
  <c r="Y147" i="1"/>
  <c r="AO147" i="1" s="1"/>
  <c r="T147" i="1"/>
  <c r="AP146" i="1"/>
  <c r="U146" i="1"/>
  <c r="Y146" i="1" s="1"/>
  <c r="T146" i="1"/>
  <c r="AP145" i="1"/>
  <c r="U145" i="1"/>
  <c r="Y145" i="1" s="1"/>
  <c r="T145" i="1"/>
  <c r="AP144" i="1"/>
  <c r="Y144" i="1"/>
  <c r="T144" i="1"/>
  <c r="AP143" i="1"/>
  <c r="Y143" i="1"/>
  <c r="T143" i="1"/>
  <c r="AF237" i="1" l="1"/>
  <c r="AQ237" i="1"/>
  <c r="Z157" i="1"/>
  <c r="AN157" i="1"/>
  <c r="AI160" i="1"/>
  <c r="AL160" i="1"/>
  <c r="AC227" i="1"/>
  <c r="Z227" i="1"/>
  <c r="AO233" i="1"/>
  <c r="AO151" i="1"/>
  <c r="Z151" i="1"/>
  <c r="AO230" i="1"/>
  <c r="Z230" i="1"/>
  <c r="Z143" i="1"/>
  <c r="AO154" i="1"/>
  <c r="Z154" i="1"/>
  <c r="AO223" i="1"/>
  <c r="Z223" i="1"/>
  <c r="AP153" i="1"/>
  <c r="AQ153" i="1" s="1"/>
  <c r="AE151" i="1"/>
  <c r="AQ217" i="1"/>
  <c r="Y238" i="1"/>
  <c r="AQ238" i="1" s="1"/>
  <c r="AP160" i="1"/>
  <c r="AQ160" i="1" s="1"/>
  <c r="AO160" i="1"/>
  <c r="AF214" i="1"/>
  <c r="AF236" i="1"/>
  <c r="AF227" i="1"/>
  <c r="AQ147" i="1"/>
  <c r="AP222" i="1"/>
  <c r="AQ239" i="1"/>
  <c r="AI214" i="1"/>
  <c r="AO215" i="1"/>
  <c r="AC216" i="1"/>
  <c r="AO216" i="1"/>
  <c r="AI152" i="1"/>
  <c r="AL226" i="1"/>
  <c r="AQ152" i="1"/>
  <c r="AQ161" i="1"/>
  <c r="AQ211" i="1"/>
  <c r="AQ212" i="1"/>
  <c r="Y218" i="1"/>
  <c r="AQ218" i="1" s="1"/>
  <c r="AQ230" i="1"/>
  <c r="Y219" i="1"/>
  <c r="AI148" i="1"/>
  <c r="AQ157" i="1"/>
  <c r="AI211" i="1"/>
  <c r="AC215" i="1"/>
  <c r="AQ221" i="1"/>
  <c r="AA226" i="1"/>
  <c r="AF230" i="1"/>
  <c r="AF234" i="1"/>
  <c r="AO211" i="1"/>
  <c r="AL230" i="1"/>
  <c r="Y235" i="1"/>
  <c r="AI235" i="1" s="1"/>
  <c r="AL148" i="1"/>
  <c r="AC211" i="1"/>
  <c r="AQ214" i="1"/>
  <c r="AF215" i="1"/>
  <c r="Y222" i="1"/>
  <c r="AL222" i="1" s="1"/>
  <c r="AF220" i="1"/>
  <c r="AQ220" i="1"/>
  <c r="AO220" i="1"/>
  <c r="AC220" i="1"/>
  <c r="AL220" i="1"/>
  <c r="AI220" i="1"/>
  <c r="AL217" i="1"/>
  <c r="AI223" i="1"/>
  <c r="AI224" i="1"/>
  <c r="AO227" i="1"/>
  <c r="AC212" i="1"/>
  <c r="AO212" i="1"/>
  <c r="AL214" i="1"/>
  <c r="AI215" i="1"/>
  <c r="AQ215" i="1"/>
  <c r="AF216" i="1"/>
  <c r="AC217" i="1"/>
  <c r="AO217" i="1"/>
  <c r="AA224" i="1"/>
  <c r="AL224" i="1"/>
  <c r="AF226" i="1"/>
  <c r="AP227" i="1"/>
  <c r="AQ227" i="1" s="1"/>
  <c r="AF233" i="1"/>
  <c r="AL233" i="1"/>
  <c r="AQ233" i="1"/>
  <c r="AI234" i="1"/>
  <c r="AQ234" i="1"/>
  <c r="AI236" i="1"/>
  <c r="AQ236" i="1"/>
  <c r="AF239" i="1"/>
  <c r="AL212" i="1"/>
  <c r="AI227" i="1"/>
  <c r="AF211" i="1"/>
  <c r="AL211" i="1"/>
  <c r="AF212" i="1"/>
  <c r="AC214" i="1"/>
  <c r="AI216" i="1"/>
  <c r="AQ216" i="1"/>
  <c r="AF217" i="1"/>
  <c r="AF223" i="1"/>
  <c r="AL223" i="1"/>
  <c r="AO224" i="1"/>
  <c r="AI226" i="1"/>
  <c r="AL227" i="1"/>
  <c r="AI230" i="1"/>
  <c r="AL234" i="1"/>
  <c r="AL236" i="1"/>
  <c r="AI212" i="1"/>
  <c r="AI217" i="1"/>
  <c r="AI233" i="1"/>
  <c r="AQ151" i="1"/>
  <c r="AQ149" i="1"/>
  <c r="AF147" i="1"/>
  <c r="AF149" i="1"/>
  <c r="AI151" i="1"/>
  <c r="AO157" i="1"/>
  <c r="AQ144" i="1"/>
  <c r="AI147" i="1"/>
  <c r="AQ148" i="1"/>
  <c r="AI149" i="1"/>
  <c r="AI157" i="1"/>
  <c r="AO153" i="1"/>
  <c r="AC153" i="1"/>
  <c r="AI156" i="1"/>
  <c r="AQ143" i="1"/>
  <c r="AL144" i="1"/>
  <c r="AL147" i="1"/>
  <c r="AF148" i="1"/>
  <c r="AL149" i="1"/>
  <c r="AC151" i="1"/>
  <c r="AL153" i="1"/>
  <c r="Y155" i="1"/>
  <c r="AQ156" i="1"/>
  <c r="AC157" i="1"/>
  <c r="AF159" i="1"/>
  <c r="AO146" i="1"/>
  <c r="AF146" i="1"/>
  <c r="AL146" i="1"/>
  <c r="AQ146" i="1"/>
  <c r="AI146" i="1"/>
  <c r="AF145" i="1"/>
  <c r="AQ145" i="1"/>
  <c r="AO145" i="1"/>
  <c r="AL145" i="1"/>
  <c r="AI145" i="1"/>
  <c r="AL152" i="1"/>
  <c r="AF153" i="1"/>
  <c r="AF154" i="1"/>
  <c r="AF144" i="1"/>
  <c r="AC152" i="1"/>
  <c r="AO152" i="1"/>
  <c r="AI153" i="1"/>
  <c r="AC156" i="1"/>
  <c r="AO156" i="1"/>
  <c r="AI159" i="1"/>
  <c r="AQ159" i="1"/>
  <c r="AC161" i="1"/>
  <c r="AI161" i="1"/>
  <c r="AO161" i="1"/>
  <c r="AI143" i="1"/>
  <c r="AO143" i="1"/>
  <c r="AO144" i="1"/>
  <c r="AL154" i="1"/>
  <c r="AQ154" i="1"/>
  <c r="AL156" i="1"/>
  <c r="AF143" i="1"/>
  <c r="AL143" i="1"/>
  <c r="AI144" i="1"/>
  <c r="AF151" i="1"/>
  <c r="AL151" i="1"/>
  <c r="AC154" i="1"/>
  <c r="AI154" i="1"/>
  <c r="AF157" i="1"/>
  <c r="AL157" i="1"/>
  <c r="AL159" i="1"/>
  <c r="AC159" i="1"/>
  <c r="Z161" i="1"/>
  <c r="AF161" i="1"/>
  <c r="AL161" i="1"/>
  <c r="Z219" i="1" l="1"/>
  <c r="AF238" i="1"/>
  <c r="Z233" i="1"/>
  <c r="AO219" i="1"/>
  <c r="AQ155" i="1"/>
  <c r="Z155" i="1"/>
  <c r="AB223" i="1"/>
  <c r="Z211" i="1"/>
  <c r="AC222" i="1"/>
  <c r="AC219" i="1"/>
  <c r="AL221" i="1"/>
  <c r="AL155" i="1"/>
  <c r="AC221" i="1"/>
  <c r="AC155" i="1"/>
  <c r="AF221" i="1"/>
  <c r="AF235" i="1"/>
  <c r="AL218" i="1"/>
  <c r="AC218" i="1"/>
  <c r="AF222" i="1"/>
  <c r="AF219" i="1"/>
  <c r="AI222" i="1"/>
  <c r="AL219" i="1"/>
  <c r="AQ222" i="1"/>
  <c r="AI219" i="1"/>
  <c r="AQ219" i="1"/>
  <c r="AQ235" i="1"/>
  <c r="AI155" i="1"/>
  <c r="AI218" i="1"/>
  <c r="AO222" i="1"/>
  <c r="AL235" i="1"/>
  <c r="AF155" i="1"/>
  <c r="AO155" i="1"/>
  <c r="AF218" i="1"/>
  <c r="AO218" i="1"/>
  <c r="AO235" i="1"/>
  <c r="AP226" i="1"/>
  <c r="AQ226" i="1" s="1"/>
  <c r="AC226" i="1"/>
  <c r="AO221" i="1"/>
  <c r="AI221" i="1"/>
  <c r="AC223" i="1"/>
  <c r="AP223" i="1"/>
  <c r="AQ223" i="1" s="1"/>
  <c r="AP224" i="1"/>
  <c r="AQ224" i="1" s="1"/>
  <c r="AC224" i="1"/>
  <c r="X293" i="1" l="1"/>
  <c r="W293" i="1"/>
  <c r="V293" i="1"/>
  <c r="U293" i="1"/>
  <c r="AD43" i="1"/>
  <c r="AA48" i="1"/>
  <c r="Y10" i="1"/>
  <c r="Y9" i="1"/>
  <c r="X48" i="1"/>
  <c r="W48" i="1"/>
  <c r="V48" i="1"/>
  <c r="U48" i="1"/>
  <c r="T48" i="1"/>
  <c r="Y47" i="1"/>
  <c r="AQ47" i="1" s="1"/>
  <c r="T47" i="1"/>
  <c r="Y46" i="1"/>
  <c r="AQ46" i="1" s="1"/>
  <c r="T46" i="1"/>
  <c r="Y45" i="1"/>
  <c r="AQ45" i="1" s="1"/>
  <c r="T45" i="1"/>
  <c r="Y44" i="1"/>
  <c r="AQ44" i="1" s="1"/>
  <c r="T44" i="1"/>
  <c r="Y43" i="1"/>
  <c r="T43" i="1"/>
  <c r="X42" i="1"/>
  <c r="W42" i="1"/>
  <c r="V42" i="1"/>
  <c r="U42" i="1"/>
  <c r="T42" i="1"/>
  <c r="Y41" i="1"/>
  <c r="T41" i="1"/>
  <c r="AF40" i="1"/>
  <c r="Y40" i="1"/>
  <c r="T40" i="1"/>
  <c r="X39" i="1"/>
  <c r="W39" i="1"/>
  <c r="V39" i="1"/>
  <c r="U39" i="1"/>
  <c r="T39" i="1"/>
  <c r="T38" i="1"/>
  <c r="T37" i="1"/>
  <c r="Y36" i="1"/>
  <c r="AQ36" i="1" s="1"/>
  <c r="T36" i="1"/>
  <c r="Y35" i="1"/>
  <c r="AQ35" i="1" s="1"/>
  <c r="T35" i="1"/>
  <c r="Y34" i="1"/>
  <c r="AQ34" i="1" s="1"/>
  <c r="T34" i="1"/>
  <c r="Y33" i="1"/>
  <c r="T33" i="1"/>
  <c r="X32" i="1"/>
  <c r="W32" i="1"/>
  <c r="V32" i="1"/>
  <c r="U32" i="1"/>
  <c r="T32" i="1"/>
  <c r="X31" i="1"/>
  <c r="W31" i="1"/>
  <c r="V31" i="1"/>
  <c r="U31" i="1"/>
  <c r="T31" i="1"/>
  <c r="T29" i="1"/>
  <c r="Y28" i="1"/>
  <c r="AQ28" i="1" s="1"/>
  <c r="T28" i="1"/>
  <c r="Y27" i="1"/>
  <c r="AQ27" i="1" s="1"/>
  <c r="T27" i="1"/>
  <c r="X26" i="1"/>
  <c r="W26" i="1"/>
  <c r="V26" i="1"/>
  <c r="U26" i="1"/>
  <c r="T26" i="1"/>
  <c r="Y25" i="1"/>
  <c r="AQ25" i="1" s="1"/>
  <c r="T25" i="1"/>
  <c r="Y24" i="1"/>
  <c r="T24" i="1"/>
  <c r="X23" i="1"/>
  <c r="W23" i="1"/>
  <c r="V23" i="1"/>
  <c r="U23" i="1"/>
  <c r="T23" i="1"/>
  <c r="Y22" i="1"/>
  <c r="AQ22" i="1" s="1"/>
  <c r="T22" i="1"/>
  <c r="Y21" i="1"/>
  <c r="AQ21" i="1" s="1"/>
  <c r="T21" i="1"/>
  <c r="Y20" i="1"/>
  <c r="AQ20" i="1" s="1"/>
  <c r="T20" i="1"/>
  <c r="Y19" i="1"/>
  <c r="AQ19" i="1" s="1"/>
  <c r="T19" i="1"/>
  <c r="Y18" i="1"/>
  <c r="T18" i="1"/>
  <c r="Y17" i="1"/>
  <c r="Y16" i="1"/>
  <c r="AQ16" i="1" s="1"/>
  <c r="T16" i="1"/>
  <c r="X15" i="1"/>
  <c r="W15" i="1"/>
  <c r="V15" i="1"/>
  <c r="T15" i="1"/>
  <c r="Y14" i="1"/>
  <c r="T14" i="1"/>
  <c r="Y13" i="1"/>
  <c r="AQ13" i="1" s="1"/>
  <c r="T13" i="1"/>
  <c r="Y12" i="1"/>
  <c r="AQ12" i="1" s="1"/>
  <c r="T12" i="1"/>
  <c r="X11" i="1"/>
  <c r="W11" i="1"/>
  <c r="V11" i="1"/>
  <c r="T11" i="1"/>
  <c r="T10" i="1"/>
  <c r="T9" i="1"/>
  <c r="Y8" i="1"/>
  <c r="AQ8" i="1" s="1"/>
  <c r="T8" i="1"/>
  <c r="AQ41" i="1" l="1"/>
  <c r="AC14" i="1"/>
  <c r="AQ14" i="1"/>
  <c r="AI33" i="1"/>
  <c r="AQ33" i="1"/>
  <c r="AI10" i="1"/>
  <c r="AQ10" i="1"/>
  <c r="AI18" i="1"/>
  <c r="AQ18" i="1"/>
  <c r="AI24" i="1"/>
  <c r="AQ24" i="1"/>
  <c r="AI17" i="1"/>
  <c r="AQ17" i="1"/>
  <c r="AI40" i="1"/>
  <c r="AI9" i="1"/>
  <c r="AQ9" i="1"/>
  <c r="AB46" i="1"/>
  <c r="AC46" i="1" s="1"/>
  <c r="AP48" i="1"/>
  <c r="AE39" i="1"/>
  <c r="AP43" i="1"/>
  <c r="AQ43" i="1" s="1"/>
  <c r="AK39" i="1"/>
  <c r="AP40" i="1"/>
  <c r="AQ40" i="1" s="1"/>
  <c r="Y15" i="1"/>
  <c r="AI8" i="1"/>
  <c r="AI35" i="1"/>
  <c r="Y11" i="1"/>
  <c r="AI22" i="1"/>
  <c r="Y38" i="1"/>
  <c r="Y29" i="1"/>
  <c r="AI20" i="1"/>
  <c r="Y23" i="1"/>
  <c r="AQ23" i="1" s="1"/>
  <c r="AI28" i="1"/>
  <c r="Y32" i="1"/>
  <c r="AQ32" i="1" s="1"/>
  <c r="Y37" i="1"/>
  <c r="Y42" i="1"/>
  <c r="AQ42" i="1" s="1"/>
  <c r="Y48" i="1"/>
  <c r="Y26" i="1"/>
  <c r="AQ26" i="1" s="1"/>
  <c r="Y31" i="1"/>
  <c r="Y39" i="1"/>
  <c r="AQ39" i="1" s="1"/>
  <c r="AC13" i="1"/>
  <c r="AI13" i="1"/>
  <c r="AC9" i="1"/>
  <c r="AC10" i="1"/>
  <c r="AI12" i="1"/>
  <c r="AC12" i="1"/>
  <c r="AI14" i="1"/>
  <c r="AI19" i="1"/>
  <c r="AI21" i="1"/>
  <c r="AI25" i="1"/>
  <c r="AI27" i="1"/>
  <c r="AI34" i="1"/>
  <c r="AI36" i="1"/>
  <c r="AI16" i="1"/>
  <c r="AC17" i="1"/>
  <c r="AC18" i="1"/>
  <c r="AC19" i="1"/>
  <c r="AC20" i="1"/>
  <c r="AC21" i="1"/>
  <c r="AC22" i="1"/>
  <c r="AC24" i="1"/>
  <c r="AC25" i="1"/>
  <c r="AC27" i="1"/>
  <c r="AC28" i="1"/>
  <c r="AC33" i="1"/>
  <c r="AC34" i="1"/>
  <c r="AC35" i="1"/>
  <c r="AC36" i="1"/>
  <c r="AC40" i="1"/>
  <c r="AI43" i="1"/>
  <c r="AI44" i="1"/>
  <c r="AI45" i="1"/>
  <c r="AI46" i="1"/>
  <c r="AI47" i="1"/>
  <c r="AC16" i="1"/>
  <c r="AC43" i="1"/>
  <c r="AC44" i="1"/>
  <c r="AC45" i="1"/>
  <c r="AC47" i="1"/>
  <c r="AC15" i="1" l="1"/>
  <c r="AQ15" i="1"/>
  <c r="AI15" i="1"/>
  <c r="AI31" i="1"/>
  <c r="AQ31" i="1"/>
  <c r="AI42" i="1"/>
  <c r="AA29" i="1"/>
  <c r="AI37" i="1"/>
  <c r="AQ37" i="1"/>
  <c r="AC11" i="1"/>
  <c r="AQ11" i="1"/>
  <c r="AC48" i="1"/>
  <c r="AQ48" i="1"/>
  <c r="AI38" i="1"/>
  <c r="AQ38" i="1"/>
  <c r="AI26" i="1"/>
  <c r="Z8" i="1"/>
  <c r="AC37" i="1"/>
  <c r="AI11" i="1"/>
  <c r="Z46" i="1"/>
  <c r="AI39" i="1"/>
  <c r="Z39" i="1"/>
  <c r="AC42" i="1"/>
  <c r="AC39" i="1"/>
  <c r="AC29" i="1"/>
  <c r="AI32" i="1"/>
  <c r="AI29" i="1"/>
  <c r="AC23" i="1"/>
  <c r="AI23" i="1"/>
  <c r="AC31" i="1"/>
  <c r="AC38" i="1"/>
  <c r="AC26" i="1"/>
  <c r="AI48" i="1"/>
  <c r="AC32" i="1"/>
  <c r="AP29" i="1" l="1"/>
  <c r="AQ29" i="1" s="1"/>
  <c r="AB8" i="1"/>
  <c r="Y287" i="1"/>
  <c r="V317" i="1"/>
  <c r="W317" i="1" s="1"/>
  <c r="X317" i="1" s="1"/>
  <c r="T317" i="1"/>
  <c r="AF287" i="1" l="1"/>
  <c r="AC8" i="1"/>
  <c r="F8" i="3"/>
  <c r="AI287" i="1"/>
  <c r="AO287" i="1"/>
  <c r="AA287" i="1"/>
  <c r="AP287" i="1" s="1"/>
  <c r="AQ287" i="1" s="1"/>
  <c r="AL287" i="1"/>
  <c r="Y317" i="1"/>
  <c r="Y114" i="1"/>
  <c r="Y129" i="1"/>
  <c r="Y128" i="1"/>
  <c r="AD128" i="1" s="1"/>
  <c r="I115" i="1"/>
  <c r="Y206" i="1"/>
  <c r="AA317" i="1" l="1"/>
  <c r="AP317" i="1" s="1"/>
  <c r="AQ317" i="1" s="1"/>
  <c r="AA206" i="1"/>
  <c r="AP206" i="1" s="1"/>
  <c r="AQ206" i="1"/>
  <c r="G8" i="3"/>
  <c r="F81" i="3"/>
  <c r="AA114" i="1"/>
  <c r="AP114" i="1" s="1"/>
  <c r="AQ114" i="1" s="1"/>
  <c r="AD129" i="1"/>
  <c r="Y325" i="1"/>
  <c r="AQ325" i="1" s="1"/>
  <c r="Y323" i="1"/>
  <c r="AQ323" i="1" s="1"/>
  <c r="AA322" i="1"/>
  <c r="Y322" i="1"/>
  <c r="T322" i="1"/>
  <c r="Y321" i="1"/>
  <c r="T321" i="1"/>
  <c r="AA320" i="1"/>
  <c r="AP320" i="1" s="1"/>
  <c r="Y320" i="1"/>
  <c r="AO320" i="1" s="1"/>
  <c r="T320" i="1"/>
  <c r="AA319" i="1"/>
  <c r="Y319" i="1"/>
  <c r="T319" i="1"/>
  <c r="AA318" i="1"/>
  <c r="AB316" i="1" s="1"/>
  <c r="Y318" i="1"/>
  <c r="AO318" i="1" s="1"/>
  <c r="T318" i="1"/>
  <c r="AP316" i="1"/>
  <c r="Y316" i="1"/>
  <c r="T316" i="1"/>
  <c r="AI321" i="1" l="1"/>
  <c r="AQ321" i="1"/>
  <c r="P8" i="3"/>
  <c r="G81" i="3"/>
  <c r="AE127" i="1"/>
  <c r="AP322" i="1"/>
  <c r="AQ322" i="1" s="1"/>
  <c r="AB322" i="1"/>
  <c r="AO319" i="1"/>
  <c r="Z319" i="1"/>
  <c r="AP319" i="1"/>
  <c r="AQ319" i="1" s="1"/>
  <c r="AB319" i="1"/>
  <c r="Z316" i="1"/>
  <c r="AO322" i="1"/>
  <c r="Z322" i="1"/>
  <c r="AQ316" i="1"/>
  <c r="AO316" i="1"/>
  <c r="AI316" i="1"/>
  <c r="AF318" i="1"/>
  <c r="AF320" i="1"/>
  <c r="AC318" i="1"/>
  <c r="AF319" i="1"/>
  <c r="AF322" i="1"/>
  <c r="AC316" i="1"/>
  <c r="AP318" i="1"/>
  <c r="AC319" i="1"/>
  <c r="AL320" i="1"/>
  <c r="AL321" i="1"/>
  <c r="AC322" i="1"/>
  <c r="AL319" i="1"/>
  <c r="AL322" i="1"/>
  <c r="AQ320" i="1"/>
  <c r="AQ318" i="1"/>
  <c r="AC320" i="1"/>
  <c r="AO321" i="1"/>
  <c r="AL318" i="1"/>
  <c r="AF321" i="1"/>
  <c r="AI318" i="1"/>
  <c r="AF316" i="1"/>
  <c r="AL316" i="1"/>
  <c r="AI319" i="1"/>
  <c r="AI320" i="1"/>
  <c r="AI322" i="1"/>
  <c r="AP365" i="1" l="1"/>
  <c r="Y365" i="1"/>
  <c r="T365" i="1"/>
  <c r="AP364" i="1"/>
  <c r="Y364" i="1"/>
  <c r="AL364" i="1" s="1"/>
  <c r="T364" i="1"/>
  <c r="AP363" i="1"/>
  <c r="Y363" i="1"/>
  <c r="T363" i="1"/>
  <c r="AP362" i="1"/>
  <c r="Y362" i="1"/>
  <c r="T362" i="1"/>
  <c r="AP361" i="1"/>
  <c r="Y361" i="1"/>
  <c r="AL361" i="1" s="1"/>
  <c r="T361" i="1"/>
  <c r="AP360" i="1"/>
  <c r="Y360" i="1"/>
  <c r="AL360" i="1" s="1"/>
  <c r="T360" i="1"/>
  <c r="AP359" i="1"/>
  <c r="Y359" i="1"/>
  <c r="R359" i="1"/>
  <c r="Q359" i="1"/>
  <c r="P359" i="1"/>
  <c r="O359" i="1"/>
  <c r="AP358" i="1"/>
  <c r="AF358" i="1"/>
  <c r="T358" i="1"/>
  <c r="Y357" i="1"/>
  <c r="AL357" i="1" s="1"/>
  <c r="T357" i="1"/>
  <c r="AP356" i="1"/>
  <c r="Y356" i="1"/>
  <c r="AF356" i="1" s="1"/>
  <c r="T356" i="1"/>
  <c r="AP355" i="1"/>
  <c r="X355" i="1"/>
  <c r="Y355" i="1" s="1"/>
  <c r="T355" i="1"/>
  <c r="AP354" i="1"/>
  <c r="Y354" i="1"/>
  <c r="T354" i="1"/>
  <c r="AP353" i="1"/>
  <c r="Y353" i="1"/>
  <c r="T353" i="1"/>
  <c r="AP352" i="1"/>
  <c r="Y352" i="1"/>
  <c r="T352" i="1"/>
  <c r="AP351" i="1"/>
  <c r="Y351" i="1"/>
  <c r="AP350" i="1"/>
  <c r="Y350" i="1"/>
  <c r="AP349" i="1"/>
  <c r="X349" i="1"/>
  <c r="Y349" i="1" s="1"/>
  <c r="Y348" i="1"/>
  <c r="AO348" i="1" s="1"/>
  <c r="Y347" i="1"/>
  <c r="AA347" i="1" s="1"/>
  <c r="AP346" i="1"/>
  <c r="Y346" i="1"/>
  <c r="AL346" i="1" s="1"/>
  <c r="AP345" i="1"/>
  <c r="Y345" i="1"/>
  <c r="Z354" i="1" l="1"/>
  <c r="AO345" i="1"/>
  <c r="Z345" i="1"/>
  <c r="AO350" i="1"/>
  <c r="Z350" i="1"/>
  <c r="AO359" i="1"/>
  <c r="Z359" i="1"/>
  <c r="AO363" i="1"/>
  <c r="Z363" i="1"/>
  <c r="Z351" i="1"/>
  <c r="AI360" i="1"/>
  <c r="AF361" i="1"/>
  <c r="AF360" i="1"/>
  <c r="AC364" i="1"/>
  <c r="AQ351" i="1"/>
  <c r="AQ365" i="1"/>
  <c r="AQ355" i="1"/>
  <c r="AL359" i="1"/>
  <c r="AQ360" i="1"/>
  <c r="AO361" i="1"/>
  <c r="AF364" i="1"/>
  <c r="AC360" i="1"/>
  <c r="AO364" i="1"/>
  <c r="AQ359" i="1"/>
  <c r="AC357" i="1"/>
  <c r="AQ356" i="1"/>
  <c r="AD357" i="1"/>
  <c r="AO351" i="1"/>
  <c r="AC346" i="1"/>
  <c r="AC351" i="1"/>
  <c r="AI351" i="1"/>
  <c r="AQ346" i="1"/>
  <c r="AQ349" i="1"/>
  <c r="AP347" i="1"/>
  <c r="AQ347" i="1" s="1"/>
  <c r="AF346" i="1"/>
  <c r="AA348" i="1"/>
  <c r="AB345" i="1" s="1"/>
  <c r="AF351" i="1"/>
  <c r="AL351" i="1"/>
  <c r="AQ354" i="1"/>
  <c r="AI346" i="1"/>
  <c r="AQ353" i="1"/>
  <c r="AI356" i="1"/>
  <c r="AO357" i="1"/>
  <c r="T359" i="1"/>
  <c r="AF359" i="1"/>
  <c r="AO360" i="1"/>
  <c r="AC361" i="1"/>
  <c r="AL348" i="1"/>
  <c r="AO346" i="1"/>
  <c r="AF348" i="1"/>
  <c r="AQ352" i="1"/>
  <c r="AQ362" i="1"/>
  <c r="AL349" i="1"/>
  <c r="AL355" i="1"/>
  <c r="AF363" i="1"/>
  <c r="AL363" i="1"/>
  <c r="AQ363" i="1"/>
  <c r="AC365" i="1"/>
  <c r="AO365" i="1"/>
  <c r="AI348" i="1"/>
  <c r="AF349" i="1"/>
  <c r="AF355" i="1"/>
  <c r="AC356" i="1"/>
  <c r="AO356" i="1"/>
  <c r="AI357" i="1"/>
  <c r="AC359" i="1"/>
  <c r="AI359" i="1"/>
  <c r="AI361" i="1"/>
  <c r="AQ361" i="1"/>
  <c r="AI364" i="1"/>
  <c r="AQ364" i="1"/>
  <c r="AF365" i="1"/>
  <c r="AL365" i="1"/>
  <c r="AF345" i="1"/>
  <c r="AL345" i="1"/>
  <c r="AQ345" i="1"/>
  <c r="AC349" i="1"/>
  <c r="AO349" i="1"/>
  <c r="AF350" i="1"/>
  <c r="AL350" i="1"/>
  <c r="AQ350" i="1"/>
  <c r="AC355" i="1"/>
  <c r="AO355" i="1"/>
  <c r="AL356" i="1"/>
  <c r="AC345" i="1"/>
  <c r="AI345" i="1"/>
  <c r="AI349" i="1"/>
  <c r="AC350" i="1"/>
  <c r="AI350" i="1"/>
  <c r="AI355" i="1"/>
  <c r="AC363" i="1"/>
  <c r="AI363" i="1"/>
  <c r="AI365" i="1"/>
  <c r="AP357" i="1" l="1"/>
  <c r="AQ357" i="1" s="1"/>
  <c r="AE354" i="1"/>
  <c r="AF357" i="1"/>
  <c r="AP348" i="1"/>
  <c r="AQ348" i="1" s="1"/>
  <c r="AC348" i="1"/>
  <c r="X401" i="1" l="1"/>
  <c r="W401" i="1"/>
  <c r="V401" i="1"/>
  <c r="R332" i="1" l="1"/>
  <c r="Q332" i="1"/>
  <c r="P332" i="1"/>
  <c r="O332" i="1"/>
  <c r="Y401" i="1" l="1"/>
  <c r="AD401" i="1" s="1"/>
  <c r="T401" i="1"/>
  <c r="Y400" i="1"/>
  <c r="T400" i="1"/>
  <c r="Y344" i="1"/>
  <c r="AC344" i="1" s="1"/>
  <c r="T344" i="1"/>
  <c r="Y343" i="1"/>
  <c r="T343" i="1"/>
  <c r="Y342" i="1"/>
  <c r="AI342" i="1" s="1"/>
  <c r="T342" i="1"/>
  <c r="AA341" i="1"/>
  <c r="Y341" i="1"/>
  <c r="AL341" i="1" s="1"/>
  <c r="T341" i="1"/>
  <c r="Y340" i="1"/>
  <c r="AL340" i="1" s="1"/>
  <c r="T340" i="1"/>
  <c r="Y339" i="1"/>
  <c r="AL339" i="1" s="1"/>
  <c r="T339" i="1"/>
  <c r="Y338" i="1"/>
  <c r="AL338" i="1" s="1"/>
  <c r="T338" i="1"/>
  <c r="X337" i="1"/>
  <c r="W337" i="1"/>
  <c r="V337" i="1"/>
  <c r="U337" i="1"/>
  <c r="T337" i="1"/>
  <c r="Y336" i="1"/>
  <c r="AF336" i="1" s="1"/>
  <c r="T336" i="1"/>
  <c r="Y335" i="1"/>
  <c r="AL335" i="1" s="1"/>
  <c r="T335" i="1"/>
  <c r="Y334" i="1"/>
  <c r="AL334" i="1" s="1"/>
  <c r="T334" i="1"/>
  <c r="Y333" i="1"/>
  <c r="AL333" i="1" s="1"/>
  <c r="T333" i="1"/>
  <c r="Y332" i="1"/>
  <c r="AF332" i="1" s="1"/>
  <c r="T332" i="1"/>
  <c r="Y331" i="1"/>
  <c r="T331" i="1"/>
  <c r="Y330" i="1"/>
  <c r="AC330" i="1" s="1"/>
  <c r="T330" i="1"/>
  <c r="Y329" i="1"/>
  <c r="T329" i="1"/>
  <c r="AP315" i="1"/>
  <c r="V315" i="1"/>
  <c r="U315" i="1"/>
  <c r="T315" i="1"/>
  <c r="AP314" i="1"/>
  <c r="Y314" i="1"/>
  <c r="AC314" i="1" s="1"/>
  <c r="T314" i="1"/>
  <c r="AP313" i="1"/>
  <c r="Y313" i="1"/>
  <c r="AC313" i="1" s="1"/>
  <c r="T313" i="1"/>
  <c r="AP312" i="1"/>
  <c r="Y312" i="1"/>
  <c r="T312" i="1"/>
  <c r="AP311" i="1"/>
  <c r="Y311" i="1"/>
  <c r="AF311" i="1" s="1"/>
  <c r="T311" i="1"/>
  <c r="AP310" i="1"/>
  <c r="X310" i="1"/>
  <c r="W310" i="1"/>
  <c r="V310" i="1"/>
  <c r="U310" i="1"/>
  <c r="T310" i="1"/>
  <c r="AP309" i="1"/>
  <c r="Y309" i="1"/>
  <c r="T309" i="1"/>
  <c r="AP308" i="1"/>
  <c r="X308" i="1"/>
  <c r="W308" i="1"/>
  <c r="V308" i="1"/>
  <c r="U308" i="1"/>
  <c r="T308" i="1"/>
  <c r="AP307" i="1"/>
  <c r="Y307" i="1"/>
  <c r="T307" i="1"/>
  <c r="AP306" i="1"/>
  <c r="Y306" i="1"/>
  <c r="T306" i="1"/>
  <c r="AP305" i="1"/>
  <c r="Y305" i="1"/>
  <c r="T305" i="1"/>
  <c r="AP304" i="1"/>
  <c r="Y304" i="1"/>
  <c r="AI304" i="1" s="1"/>
  <c r="T304" i="1"/>
  <c r="AP303" i="1"/>
  <c r="Y303" i="1"/>
  <c r="T303" i="1"/>
  <c r="AP302" i="1"/>
  <c r="Y302" i="1"/>
  <c r="T302" i="1"/>
  <c r="AP301" i="1"/>
  <c r="Y301" i="1"/>
  <c r="T301" i="1"/>
  <c r="AP300" i="1"/>
  <c r="Y300" i="1"/>
  <c r="AI300" i="1" s="1"/>
  <c r="T300" i="1"/>
  <c r="AP299" i="1"/>
  <c r="Y299" i="1"/>
  <c r="T299" i="1"/>
  <c r="AP298" i="1"/>
  <c r="Y298" i="1"/>
  <c r="AI298" i="1" s="1"/>
  <c r="T298" i="1"/>
  <c r="Y296" i="1"/>
  <c r="AA296" i="1" s="1"/>
  <c r="AB295" i="1" s="1"/>
  <c r="T296" i="1"/>
  <c r="AP295" i="1"/>
  <c r="Y295" i="1"/>
  <c r="T295" i="1"/>
  <c r="AP294" i="1"/>
  <c r="Y294" i="1"/>
  <c r="T294" i="1"/>
  <c r="Y293" i="1"/>
  <c r="AA293" i="1" s="1"/>
  <c r="AB290" i="1" s="1"/>
  <c r="T293" i="1"/>
  <c r="AP292" i="1"/>
  <c r="Y292" i="1"/>
  <c r="AI292" i="1" s="1"/>
  <c r="T292" i="1"/>
  <c r="AP291" i="1"/>
  <c r="Y291" i="1"/>
  <c r="T291" i="1"/>
  <c r="AP290" i="1"/>
  <c r="Y290" i="1"/>
  <c r="T290" i="1"/>
  <c r="AP289" i="1"/>
  <c r="Y289" i="1"/>
  <c r="T289" i="1"/>
  <c r="AP288" i="1"/>
  <c r="Y288" i="1"/>
  <c r="Y286" i="1"/>
  <c r="T286" i="1"/>
  <c r="AP285" i="1"/>
  <c r="Y285" i="1"/>
  <c r="T285" i="1"/>
  <c r="AP284" i="1"/>
  <c r="Y284" i="1"/>
  <c r="AI284" i="1" s="1"/>
  <c r="T284" i="1"/>
  <c r="AP283" i="1"/>
  <c r="Y283" i="1"/>
  <c r="T283" i="1"/>
  <c r="AP282" i="1"/>
  <c r="Y282" i="1"/>
  <c r="AI282" i="1" s="1"/>
  <c r="T282" i="1"/>
  <c r="AP281" i="1"/>
  <c r="Y281" i="1"/>
  <c r="T281" i="1"/>
  <c r="AP280" i="1"/>
  <c r="Y280" i="1"/>
  <c r="AI280" i="1" s="1"/>
  <c r="T280" i="1"/>
  <c r="AP279" i="1"/>
  <c r="Y279" i="1"/>
  <c r="T279" i="1"/>
  <c r="Y278" i="1"/>
  <c r="AI278" i="1" s="1"/>
  <c r="T278" i="1"/>
  <c r="Y277" i="1"/>
  <c r="AI277" i="1" s="1"/>
  <c r="T277" i="1"/>
  <c r="Y276" i="1"/>
  <c r="AI276" i="1" s="1"/>
  <c r="T276" i="1"/>
  <c r="Y275" i="1"/>
  <c r="AI275" i="1" s="1"/>
  <c r="T275" i="1"/>
  <c r="Y274" i="1"/>
  <c r="T274" i="1"/>
  <c r="Y273" i="1"/>
  <c r="T273" i="1"/>
  <c r="Y272" i="1"/>
  <c r="AA272" i="1" s="1"/>
  <c r="AP272" i="1" s="1"/>
  <c r="T272" i="1"/>
  <c r="Y271" i="1"/>
  <c r="AA271" i="1" s="1"/>
  <c r="AP271" i="1" s="1"/>
  <c r="T271" i="1"/>
  <c r="AP210" i="1"/>
  <c r="Y210" i="1"/>
  <c r="AF210" i="1" s="1"/>
  <c r="T210" i="1"/>
  <c r="AP209" i="1"/>
  <c r="Y209" i="1"/>
  <c r="AF209" i="1" s="1"/>
  <c r="T209" i="1"/>
  <c r="AP208" i="1"/>
  <c r="Y208" i="1"/>
  <c r="AF208" i="1" s="1"/>
  <c r="T208" i="1"/>
  <c r="AP207" i="1"/>
  <c r="Y207" i="1"/>
  <c r="AF207" i="1" s="1"/>
  <c r="T207" i="1"/>
  <c r="Y205" i="1"/>
  <c r="T205" i="1"/>
  <c r="AP204" i="1"/>
  <c r="Y204" i="1"/>
  <c r="AF204" i="1" s="1"/>
  <c r="T204" i="1"/>
  <c r="AP203" i="1"/>
  <c r="Y203" i="1"/>
  <c r="T203" i="1"/>
  <c r="AP202" i="1"/>
  <c r="Y202" i="1"/>
  <c r="AL202" i="1" s="1"/>
  <c r="T202" i="1"/>
  <c r="AP201" i="1"/>
  <c r="Y201" i="1"/>
  <c r="T201" i="1"/>
  <c r="AP200" i="1"/>
  <c r="Y200" i="1"/>
  <c r="T200" i="1"/>
  <c r="AM199" i="1"/>
  <c r="AN198" i="1" s="1"/>
  <c r="AG199" i="1"/>
  <c r="AH198" i="1" s="1"/>
  <c r="AD199" i="1"/>
  <c r="AE198" i="1" s="1"/>
  <c r="AA199" i="1"/>
  <c r="X199" i="1"/>
  <c r="W199" i="1"/>
  <c r="V199" i="1"/>
  <c r="U199" i="1"/>
  <c r="T199" i="1"/>
  <c r="S199" i="1"/>
  <c r="Y198" i="1"/>
  <c r="T198" i="1"/>
  <c r="S198" i="1"/>
  <c r="AJ197" i="1"/>
  <c r="AG197" i="1"/>
  <c r="AA197" i="1"/>
  <c r="W197" i="1"/>
  <c r="V197" i="1"/>
  <c r="U197" i="1"/>
  <c r="T197" i="1"/>
  <c r="S197" i="1"/>
  <c r="AP196" i="1"/>
  <c r="Y196" i="1"/>
  <c r="T196" i="1"/>
  <c r="S196" i="1"/>
  <c r="AM195" i="1"/>
  <c r="AJ195" i="1"/>
  <c r="AG195" i="1"/>
  <c r="AD195" i="1"/>
  <c r="AE194" i="1" s="1"/>
  <c r="AA195" i="1"/>
  <c r="R195" i="1"/>
  <c r="X195" i="1" s="1"/>
  <c r="Q195" i="1"/>
  <c r="W195" i="1" s="1"/>
  <c r="P195" i="1"/>
  <c r="O195" i="1"/>
  <c r="U195" i="1" s="1"/>
  <c r="AM194" i="1"/>
  <c r="AA194" i="1"/>
  <c r="X194" i="1"/>
  <c r="W194" i="1"/>
  <c r="V194" i="1"/>
  <c r="U194" i="1"/>
  <c r="T194" i="1"/>
  <c r="S194" i="1"/>
  <c r="AA193" i="1"/>
  <c r="AB193" i="1" s="1"/>
  <c r="X193" i="1"/>
  <c r="W193" i="1"/>
  <c r="V193" i="1"/>
  <c r="U193" i="1"/>
  <c r="T193" i="1"/>
  <c r="S193" i="1"/>
  <c r="N193" i="1"/>
  <c r="AM192" i="1"/>
  <c r="AN192" i="1" s="1"/>
  <c r="AG192" i="1"/>
  <c r="AH192" i="1" s="1"/>
  <c r="AD192" i="1"/>
  <c r="AE192" i="1" s="1"/>
  <c r="AA192" i="1"/>
  <c r="AB192" i="1" s="1"/>
  <c r="X192" i="1"/>
  <c r="W192" i="1"/>
  <c r="V192" i="1"/>
  <c r="U192" i="1"/>
  <c r="T192" i="1"/>
  <c r="S192" i="1"/>
  <c r="AD191" i="1"/>
  <c r="X191" i="1"/>
  <c r="W191" i="1"/>
  <c r="V191" i="1"/>
  <c r="T191" i="1"/>
  <c r="S191" i="1"/>
  <c r="AD190" i="1"/>
  <c r="W190" i="1"/>
  <c r="X190" i="1" s="1"/>
  <c r="V190" i="1"/>
  <c r="T190" i="1"/>
  <c r="S190" i="1"/>
  <c r="AM189" i="1"/>
  <c r="AN189" i="1" s="1"/>
  <c r="X189" i="1"/>
  <c r="W189" i="1"/>
  <c r="V189" i="1"/>
  <c r="U189" i="1"/>
  <c r="AD189" i="1" s="1"/>
  <c r="T189" i="1"/>
  <c r="S189" i="1"/>
  <c r="AM188" i="1"/>
  <c r="AN188" i="1" s="1"/>
  <c r="AJ188" i="1"/>
  <c r="AK188" i="1" s="1"/>
  <c r="AG188" i="1"/>
  <c r="AH188" i="1" s="1"/>
  <c r="AD188" i="1"/>
  <c r="AE188" i="1" s="1"/>
  <c r="AA188" i="1"/>
  <c r="AB188" i="1" s="1"/>
  <c r="X188" i="1"/>
  <c r="W188" i="1"/>
  <c r="V188" i="1"/>
  <c r="T188" i="1"/>
  <c r="S188" i="1"/>
  <c r="AM187" i="1"/>
  <c r="AG187" i="1"/>
  <c r="AD187" i="1"/>
  <c r="AA187" i="1"/>
  <c r="R187" i="1"/>
  <c r="X187" i="1" s="1"/>
  <c r="Q187" i="1"/>
  <c r="W187" i="1" s="1"/>
  <c r="P187" i="1"/>
  <c r="V187" i="1" s="1"/>
  <c r="O187" i="1"/>
  <c r="AM186" i="1"/>
  <c r="AD186" i="1"/>
  <c r="X186" i="1"/>
  <c r="W186" i="1"/>
  <c r="V186" i="1"/>
  <c r="U186" i="1"/>
  <c r="T186" i="1"/>
  <c r="S186" i="1"/>
  <c r="AM185" i="1"/>
  <c r="AP185" i="1" s="1"/>
  <c r="V185" i="1"/>
  <c r="Y185" i="1" s="1"/>
  <c r="T185" i="1"/>
  <c r="S185" i="1"/>
  <c r="AM184" i="1"/>
  <c r="AJ184" i="1"/>
  <c r="AG184" i="1"/>
  <c r="AD184" i="1"/>
  <c r="AA184" i="1"/>
  <c r="X184" i="1"/>
  <c r="Q184" i="1"/>
  <c r="W184" i="1" s="1"/>
  <c r="P184" i="1"/>
  <c r="V184" i="1" s="1"/>
  <c r="O184" i="1"/>
  <c r="AJ183" i="1"/>
  <c r="AG183" i="1"/>
  <c r="AD183" i="1"/>
  <c r="AA183" i="1"/>
  <c r="X183" i="1"/>
  <c r="W183" i="1"/>
  <c r="V183" i="1"/>
  <c r="U183" i="1"/>
  <c r="T183" i="1"/>
  <c r="S183" i="1"/>
  <c r="V182" i="1"/>
  <c r="W182" i="1" s="1"/>
  <c r="X182" i="1" s="1"/>
  <c r="U182" i="1"/>
  <c r="T182" i="1"/>
  <c r="S182" i="1"/>
  <c r="AM181" i="1"/>
  <c r="AG181" i="1"/>
  <c r="AD181" i="1"/>
  <c r="U181" i="1"/>
  <c r="R181" i="1"/>
  <c r="Q181" i="1"/>
  <c r="AM180" i="1"/>
  <c r="AG180" i="1"/>
  <c r="AD180" i="1"/>
  <c r="AA180" i="1"/>
  <c r="W180" i="1"/>
  <c r="V180" i="1"/>
  <c r="U180" i="1"/>
  <c r="T180" i="1"/>
  <c r="S180" i="1"/>
  <c r="Y166" i="1"/>
  <c r="AO166" i="1" s="1"/>
  <c r="T166" i="1"/>
  <c r="Y165" i="1"/>
  <c r="AO165" i="1" s="1"/>
  <c r="T165" i="1"/>
  <c r="Y164" i="1"/>
  <c r="T164" i="1"/>
  <c r="V163" i="1"/>
  <c r="T163" i="1"/>
  <c r="AP142" i="1"/>
  <c r="AN142" i="1"/>
  <c r="X142" i="1"/>
  <c r="W142" i="1"/>
  <c r="V142" i="1"/>
  <c r="U142" i="1"/>
  <c r="T142" i="1"/>
  <c r="AP141" i="1"/>
  <c r="Y141" i="1"/>
  <c r="T141" i="1"/>
  <c r="AP140" i="1"/>
  <c r="Y140" i="1"/>
  <c r="AI140" i="1" s="1"/>
  <c r="T140" i="1"/>
  <c r="AP139" i="1"/>
  <c r="Y139" i="1"/>
  <c r="T139" i="1"/>
  <c r="AP138" i="1"/>
  <c r="X138" i="1"/>
  <c r="W138" i="1"/>
  <c r="V138" i="1"/>
  <c r="U138" i="1"/>
  <c r="T138" i="1"/>
  <c r="AP137" i="1"/>
  <c r="AN137" i="1"/>
  <c r="Y137" i="1"/>
  <c r="T137" i="1"/>
  <c r="AP136" i="1"/>
  <c r="Y136" i="1"/>
  <c r="T136" i="1"/>
  <c r="AP135" i="1"/>
  <c r="X135" i="1"/>
  <c r="W135" i="1"/>
  <c r="V135" i="1"/>
  <c r="T135" i="1"/>
  <c r="AP134" i="1"/>
  <c r="V134" i="1"/>
  <c r="W134" i="1" s="1"/>
  <c r="X134" i="1" s="1"/>
  <c r="T134" i="1"/>
  <c r="AP132" i="1"/>
  <c r="Y132" i="1"/>
  <c r="AF132" i="1" s="1"/>
  <c r="T132" i="1"/>
  <c r="AP131" i="1"/>
  <c r="Y131" i="1"/>
  <c r="AL131" i="1" s="1"/>
  <c r="T131" i="1"/>
  <c r="AP130" i="1"/>
  <c r="AN130" i="1"/>
  <c r="Y130" i="1"/>
  <c r="T130" i="1"/>
  <c r="AP128" i="1"/>
  <c r="T128" i="1"/>
  <c r="AP127" i="1"/>
  <c r="AN127" i="1"/>
  <c r="Y127" i="1"/>
  <c r="Z127" i="1" s="1"/>
  <c r="T127" i="1"/>
  <c r="AP126" i="1"/>
  <c r="Y126" i="1"/>
  <c r="AL126" i="1" s="1"/>
  <c r="T126" i="1"/>
  <c r="AP125" i="1"/>
  <c r="AN125" i="1"/>
  <c r="AK125" i="1"/>
  <c r="AH125" i="1"/>
  <c r="AE125" i="1"/>
  <c r="AB125" i="1"/>
  <c r="Y125" i="1"/>
  <c r="T125" i="1"/>
  <c r="AP124" i="1"/>
  <c r="Y124" i="1"/>
  <c r="T124" i="1"/>
  <c r="AP123" i="1"/>
  <c r="AN123" i="1"/>
  <c r="AK123" i="1"/>
  <c r="AH123" i="1"/>
  <c r="AE123" i="1"/>
  <c r="AB123" i="1"/>
  <c r="Y123" i="1"/>
  <c r="T123" i="1"/>
  <c r="AP122" i="1"/>
  <c r="X122" i="1"/>
  <c r="W122" i="1"/>
  <c r="V122" i="1"/>
  <c r="U122" i="1"/>
  <c r="T122" i="1"/>
  <c r="AP121" i="1"/>
  <c r="Y121" i="1"/>
  <c r="T121" i="1"/>
  <c r="AP120" i="1"/>
  <c r="Y120" i="1"/>
  <c r="AI120" i="1" s="1"/>
  <c r="T120" i="1"/>
  <c r="AP119" i="1"/>
  <c r="X119" i="1"/>
  <c r="W119" i="1"/>
  <c r="V119" i="1"/>
  <c r="U119" i="1"/>
  <c r="T119" i="1"/>
  <c r="AP118" i="1"/>
  <c r="X118" i="1"/>
  <c r="W118" i="1"/>
  <c r="V118" i="1"/>
  <c r="U118" i="1"/>
  <c r="T118" i="1"/>
  <c r="AP117" i="1"/>
  <c r="Y117" i="1"/>
  <c r="AF117" i="1" s="1"/>
  <c r="T117" i="1"/>
  <c r="AP115" i="1"/>
  <c r="AN115" i="1"/>
  <c r="AK115" i="1"/>
  <c r="AH115" i="1"/>
  <c r="AE115" i="1"/>
  <c r="AB115" i="1"/>
  <c r="Y115" i="1"/>
  <c r="T115" i="1"/>
  <c r="V111" i="1"/>
  <c r="V110" i="1"/>
  <c r="W110" i="1" s="1"/>
  <c r="X110" i="1" s="1"/>
  <c r="AP109" i="1"/>
  <c r="V109" i="1"/>
  <c r="W109" i="1" s="1"/>
  <c r="X109" i="1" s="1"/>
  <c r="AP108" i="1"/>
  <c r="V108" i="1"/>
  <c r="W108" i="1" s="1"/>
  <c r="X108" i="1" s="1"/>
  <c r="T108" i="1"/>
  <c r="AP107" i="1"/>
  <c r="V107" i="1"/>
  <c r="T107" i="1"/>
  <c r="AP106" i="1"/>
  <c r="AN106" i="1"/>
  <c r="AK106" i="1"/>
  <c r="AH106" i="1"/>
  <c r="AE106" i="1"/>
  <c r="AB106" i="1"/>
  <c r="V106" i="1"/>
  <c r="W106" i="1" s="1"/>
  <c r="X106" i="1" s="1"/>
  <c r="T106" i="1"/>
  <c r="V105" i="1"/>
  <c r="W105" i="1" s="1"/>
  <c r="X105" i="1" s="1"/>
  <c r="T105" i="1"/>
  <c r="V104" i="1"/>
  <c r="W104" i="1" s="1"/>
  <c r="X104" i="1" s="1"/>
  <c r="T104" i="1"/>
  <c r="V103" i="1"/>
  <c r="W103" i="1" s="1"/>
  <c r="X103" i="1" s="1"/>
  <c r="V102" i="1"/>
  <c r="V101" i="1"/>
  <c r="W101" i="1" s="1"/>
  <c r="X101" i="1" s="1"/>
  <c r="T101" i="1"/>
  <c r="V100" i="1"/>
  <c r="W100" i="1" s="1"/>
  <c r="X100" i="1" s="1"/>
  <c r="T100" i="1"/>
  <c r="V99" i="1"/>
  <c r="W99" i="1" s="1"/>
  <c r="X99" i="1" s="1"/>
  <c r="V98" i="1"/>
  <c r="W98" i="1" s="1"/>
  <c r="X98" i="1" s="1"/>
  <c r="T98" i="1"/>
  <c r="V97" i="1"/>
  <c r="W97" i="1" s="1"/>
  <c r="X97" i="1" s="1"/>
  <c r="V96" i="1"/>
  <c r="T96" i="1"/>
  <c r="V95" i="1"/>
  <c r="T95" i="1"/>
  <c r="V94" i="1"/>
  <c r="T94" i="1"/>
  <c r="V93" i="1"/>
  <c r="W93" i="1" s="1"/>
  <c r="X93" i="1" s="1"/>
  <c r="T93" i="1"/>
  <c r="V92" i="1"/>
  <c r="T92" i="1"/>
  <c r="V90" i="1"/>
  <c r="V89" i="1"/>
  <c r="W89" i="1" s="1"/>
  <c r="X89" i="1" s="1"/>
  <c r="T89" i="1"/>
  <c r="V88" i="1"/>
  <c r="W88" i="1" s="1"/>
  <c r="X88" i="1" s="1"/>
  <c r="T88" i="1"/>
  <c r="V86" i="1"/>
  <c r="W86" i="1" s="1"/>
  <c r="X86" i="1" s="1"/>
  <c r="T86" i="1"/>
  <c r="V85" i="1"/>
  <c r="W85" i="1" s="1"/>
  <c r="X85" i="1" s="1"/>
  <c r="T85" i="1"/>
  <c r="V84" i="1"/>
  <c r="W84" i="1" s="1"/>
  <c r="X84" i="1" s="1"/>
  <c r="T84" i="1"/>
  <c r="V83" i="1"/>
  <c r="W83" i="1" s="1"/>
  <c r="X83" i="1" s="1"/>
  <c r="T83" i="1"/>
  <c r="V82" i="1"/>
  <c r="W82" i="1" s="1"/>
  <c r="X82" i="1" s="1"/>
  <c r="T82" i="1"/>
  <c r="V81" i="1"/>
  <c r="W81" i="1" s="1"/>
  <c r="X81" i="1" s="1"/>
  <c r="T81" i="1"/>
  <c r="V80" i="1"/>
  <c r="W80" i="1" s="1"/>
  <c r="X80" i="1" s="1"/>
  <c r="T80" i="1"/>
  <c r="V79" i="1"/>
  <c r="W79" i="1" s="1"/>
  <c r="X79" i="1" s="1"/>
  <c r="T79" i="1"/>
  <c r="V78" i="1"/>
  <c r="W78" i="1" s="1"/>
  <c r="X78" i="1" s="1"/>
  <c r="T78" i="1"/>
  <c r="V75" i="1"/>
  <c r="W75" i="1" s="1"/>
  <c r="X75" i="1" s="1"/>
  <c r="V74" i="1"/>
  <c r="T74" i="1"/>
  <c r="V73" i="1"/>
  <c r="T73" i="1"/>
  <c r="V72" i="1"/>
  <c r="T72" i="1"/>
  <c r="V71" i="1"/>
  <c r="T71" i="1"/>
  <c r="AO70" i="1"/>
  <c r="AL70" i="1"/>
  <c r="AI70" i="1"/>
  <c r="W70" i="1"/>
  <c r="X70" i="1" s="1"/>
  <c r="V69" i="1"/>
  <c r="V68" i="1"/>
  <c r="V67" i="1"/>
  <c r="W67" i="1" s="1"/>
  <c r="X67" i="1" s="1"/>
  <c r="V66" i="1"/>
  <c r="T66" i="1"/>
  <c r="V65" i="1"/>
  <c r="T65" i="1"/>
  <c r="V64" i="1"/>
  <c r="T64" i="1"/>
  <c r="V63" i="1"/>
  <c r="T63" i="1"/>
  <c r="V62" i="1"/>
  <c r="T62" i="1"/>
  <c r="V61" i="1"/>
  <c r="T61" i="1"/>
  <c r="V60" i="1"/>
  <c r="W60" i="1" s="1"/>
  <c r="X60" i="1" s="1"/>
  <c r="T60" i="1"/>
  <c r="V58" i="1"/>
  <c r="W58" i="1" s="1"/>
  <c r="X58" i="1" s="1"/>
  <c r="T58" i="1"/>
  <c r="V57" i="1"/>
  <c r="W57" i="1" s="1"/>
  <c r="X57" i="1" s="1"/>
  <c r="T57" i="1"/>
  <c r="N57" i="1"/>
  <c r="V56" i="1"/>
  <c r="W55" i="1"/>
  <c r="X55" i="1" s="1"/>
  <c r="AO54" i="1"/>
  <c r="AL54" i="1"/>
  <c r="AI54" i="1"/>
  <c r="W54" i="1"/>
  <c r="X54" i="1" s="1"/>
  <c r="AO53" i="1"/>
  <c r="AL53" i="1"/>
  <c r="AI53" i="1"/>
  <c r="W53" i="1"/>
  <c r="X53" i="1" s="1"/>
  <c r="V52" i="1"/>
  <c r="T52" i="1"/>
  <c r="V51" i="1"/>
  <c r="W51" i="1" s="1"/>
  <c r="X51" i="1" s="1"/>
  <c r="T51" i="1"/>
  <c r="V50" i="1"/>
  <c r="T50" i="1"/>
  <c r="AN49" i="1"/>
  <c r="AK49" i="1"/>
  <c r="AH49" i="1"/>
  <c r="AB49" i="1"/>
  <c r="V49" i="1"/>
  <c r="Y49" i="1" s="1"/>
  <c r="T49" i="1"/>
  <c r="AG402" i="1" l="1"/>
  <c r="AN194" i="1"/>
  <c r="AP296" i="1"/>
  <c r="AL273" i="1"/>
  <c r="AA273" i="1"/>
  <c r="AP273" i="1" s="1"/>
  <c r="AQ273" i="1" s="1"/>
  <c r="Z200" i="1"/>
  <c r="Z279" i="1"/>
  <c r="Z290" i="1"/>
  <c r="Z302" i="1"/>
  <c r="Z288" i="1"/>
  <c r="W52" i="1"/>
  <c r="AK180" i="1"/>
  <c r="AH180" i="1"/>
  <c r="AN180" i="1"/>
  <c r="AK194" i="1"/>
  <c r="Z203" i="1"/>
  <c r="Z271" i="1"/>
  <c r="AL329" i="1"/>
  <c r="AA400" i="1"/>
  <c r="Z400" i="1"/>
  <c r="AI274" i="1"/>
  <c r="Z274" i="1"/>
  <c r="Z295" i="1"/>
  <c r="Z164" i="1"/>
  <c r="AP401" i="1"/>
  <c r="AQ401" i="1" s="1"/>
  <c r="AE400" i="1"/>
  <c r="AE180" i="1"/>
  <c r="AE189" i="1"/>
  <c r="AB194" i="1"/>
  <c r="AH194" i="1"/>
  <c r="W92" i="1"/>
  <c r="X92" i="1" s="1"/>
  <c r="AG403" i="1"/>
  <c r="AP293" i="1"/>
  <c r="AQ293" i="1" s="1"/>
  <c r="AI286" i="1"/>
  <c r="AA286" i="1"/>
  <c r="Y113" i="1"/>
  <c r="AF205" i="1"/>
  <c r="AA205" i="1"/>
  <c r="AB203" i="1" s="1"/>
  <c r="AQ115" i="1"/>
  <c r="AQ271" i="1"/>
  <c r="AQ279" i="1"/>
  <c r="AL330" i="1"/>
  <c r="Y134" i="1"/>
  <c r="AQ134" i="1" s="1"/>
  <c r="Y135" i="1"/>
  <c r="AQ135" i="1" s="1"/>
  <c r="AQ196" i="1"/>
  <c r="AC335" i="1"/>
  <c r="AC338" i="1"/>
  <c r="T181" i="1"/>
  <c r="Y182" i="1"/>
  <c r="AL182" i="1" s="1"/>
  <c r="Y186" i="1"/>
  <c r="AL186" i="1" s="1"/>
  <c r="T187" i="1"/>
  <c r="Y188" i="1"/>
  <c r="Y194" i="1"/>
  <c r="AO196" i="1"/>
  <c r="Y197" i="1"/>
  <c r="AC197" i="1" s="1"/>
  <c r="AP197" i="1"/>
  <c r="AO313" i="1"/>
  <c r="AQ313" i="1"/>
  <c r="AC333" i="1"/>
  <c r="Y58" i="1"/>
  <c r="Y93" i="1"/>
  <c r="AC126" i="1"/>
  <c r="W61" i="1"/>
  <c r="X61" i="1" s="1"/>
  <c r="W69" i="1"/>
  <c r="X69" i="1" s="1"/>
  <c r="Y81" i="1"/>
  <c r="Y83" i="1"/>
  <c r="Y99" i="1"/>
  <c r="Y118" i="1"/>
  <c r="AF118" i="1" s="1"/>
  <c r="Y119" i="1"/>
  <c r="AO119" i="1" s="1"/>
  <c r="AO126" i="1"/>
  <c r="AQ126" i="1"/>
  <c r="AC131" i="1"/>
  <c r="AL196" i="1"/>
  <c r="AC196" i="1"/>
  <c r="Y108" i="1"/>
  <c r="Y110" i="1"/>
  <c r="AO131" i="1"/>
  <c r="AQ131" i="1"/>
  <c r="AL201" i="1"/>
  <c r="AF201" i="1"/>
  <c r="Y191" i="1"/>
  <c r="AC191" i="1" s="1"/>
  <c r="AP195" i="1"/>
  <c r="Y199" i="1"/>
  <c r="AP199" i="1"/>
  <c r="AC271" i="1"/>
  <c r="AF271" i="1"/>
  <c r="AI271" i="1"/>
  <c r="AL271" i="1"/>
  <c r="AO271" i="1"/>
  <c r="AQ272" i="1"/>
  <c r="Y308" i="1"/>
  <c r="AO308" i="1" s="1"/>
  <c r="AC334" i="1"/>
  <c r="AA336" i="1"/>
  <c r="AC336" i="1" s="1"/>
  <c r="AA339" i="1"/>
  <c r="AC339" i="1" s="1"/>
  <c r="AC340" i="1"/>
  <c r="AI341" i="1"/>
  <c r="Z344" i="1"/>
  <c r="AO273" i="1"/>
  <c r="AL336" i="1"/>
  <c r="Y51" i="1"/>
  <c r="Y67" i="1"/>
  <c r="Y76" i="1"/>
  <c r="Y79" i="1"/>
  <c r="Y85" i="1"/>
  <c r="Y88" i="1"/>
  <c r="Y98" i="1"/>
  <c r="Y101" i="1"/>
  <c r="AC115" i="1"/>
  <c r="AF115" i="1"/>
  <c r="AI115" i="1"/>
  <c r="AL115" i="1"/>
  <c r="AO115" i="1"/>
  <c r="AL124" i="1"/>
  <c r="AQ124" i="1"/>
  <c r="AO124" i="1"/>
  <c r="AC124" i="1"/>
  <c r="AL128" i="1"/>
  <c r="AQ128" i="1"/>
  <c r="AO128" i="1"/>
  <c r="AC128" i="1"/>
  <c r="AL136" i="1"/>
  <c r="AQ136" i="1"/>
  <c r="AO136" i="1"/>
  <c r="AC136" i="1"/>
  <c r="Y103" i="1"/>
  <c r="Y105" i="1"/>
  <c r="Y109" i="1"/>
  <c r="AL120" i="1"/>
  <c r="AQ120" i="1"/>
  <c r="AO120" i="1"/>
  <c r="AC120" i="1"/>
  <c r="AI124" i="1"/>
  <c r="AI128" i="1"/>
  <c r="AI136" i="1"/>
  <c r="AL140" i="1"/>
  <c r="AQ140" i="1"/>
  <c r="AO140" i="1"/>
  <c r="AC140" i="1"/>
  <c r="AP180" i="1"/>
  <c r="AQ200" i="1"/>
  <c r="AQ202" i="1"/>
  <c r="AC202" i="1"/>
  <c r="AL204" i="1"/>
  <c r="AL207" i="1"/>
  <c r="AL209" i="1"/>
  <c r="AI126" i="1"/>
  <c r="AI131" i="1"/>
  <c r="Y138" i="1"/>
  <c r="Z137" i="1" s="1"/>
  <c r="Y180" i="1"/>
  <c r="Y183" i="1"/>
  <c r="AI183" i="1" s="1"/>
  <c r="Y192" i="1"/>
  <c r="AL192" i="1" s="1"/>
  <c r="Y193" i="1"/>
  <c r="Z193" i="1" s="1"/>
  <c r="T195" i="1"/>
  <c r="AI196" i="1"/>
  <c r="AL205" i="1"/>
  <c r="AQ208" i="1"/>
  <c r="AL208" i="1"/>
  <c r="AQ210" i="1"/>
  <c r="AL210" i="1"/>
  <c r="AL280" i="1"/>
  <c r="AQ280" i="1"/>
  <c r="AO280" i="1"/>
  <c r="AC280" i="1"/>
  <c r="AL284" i="1"/>
  <c r="AQ284" i="1"/>
  <c r="AO284" i="1"/>
  <c r="AC284" i="1"/>
  <c r="AQ288" i="1"/>
  <c r="AO288" i="1"/>
  <c r="AL288" i="1"/>
  <c r="AI288" i="1"/>
  <c r="AF288" i="1"/>
  <c r="AC288" i="1"/>
  <c r="AL292" i="1"/>
  <c r="AQ292" i="1"/>
  <c r="AO292" i="1"/>
  <c r="AC292" i="1"/>
  <c r="AQ295" i="1"/>
  <c r="AO295" i="1"/>
  <c r="AL295" i="1"/>
  <c r="AI295" i="1"/>
  <c r="AF295" i="1"/>
  <c r="AC295" i="1"/>
  <c r="AL300" i="1"/>
  <c r="AQ300" i="1"/>
  <c r="AO300" i="1"/>
  <c r="AC300" i="1"/>
  <c r="AL312" i="1"/>
  <c r="AQ312" i="1"/>
  <c r="AO312" i="1"/>
  <c r="AC312" i="1"/>
  <c r="AI312" i="1"/>
  <c r="AL282" i="1"/>
  <c r="AQ282" i="1"/>
  <c r="AO282" i="1"/>
  <c r="AC282" i="1"/>
  <c r="AL286" i="1"/>
  <c r="AO286" i="1"/>
  <c r="AQ290" i="1"/>
  <c r="AO290" i="1"/>
  <c r="AL290" i="1"/>
  <c r="AI290" i="1"/>
  <c r="AF290" i="1"/>
  <c r="AC290" i="1"/>
  <c r="AL298" i="1"/>
  <c r="AQ298" i="1"/>
  <c r="AO298" i="1"/>
  <c r="AC298" i="1"/>
  <c r="AQ302" i="1"/>
  <c r="AO302" i="1"/>
  <c r="AL302" i="1"/>
  <c r="AI302" i="1"/>
  <c r="AF302" i="1"/>
  <c r="AC302" i="1"/>
  <c r="AL306" i="1"/>
  <c r="AQ306" i="1"/>
  <c r="AO306" i="1"/>
  <c r="AC306" i="1"/>
  <c r="AI306" i="1"/>
  <c r="AC331" i="1"/>
  <c r="AL331" i="1"/>
  <c r="AI273" i="1"/>
  <c r="AQ281" i="1"/>
  <c r="AQ283" i="1"/>
  <c r="AQ285" i="1"/>
  <c r="AQ289" i="1"/>
  <c r="AQ291" i="1"/>
  <c r="AQ294" i="1"/>
  <c r="AQ296" i="1"/>
  <c r="AQ299" i="1"/>
  <c r="AL304" i="1"/>
  <c r="AQ304" i="1"/>
  <c r="AO304" i="1"/>
  <c r="AC304" i="1"/>
  <c r="AL332" i="1"/>
  <c r="AA332" i="1"/>
  <c r="AL343" i="1"/>
  <c r="AI343" i="1"/>
  <c r="AF343" i="1"/>
  <c r="AC343" i="1"/>
  <c r="Z343" i="1"/>
  <c r="AO400" i="1"/>
  <c r="AL400" i="1"/>
  <c r="AI400" i="1"/>
  <c r="AF400" i="1"/>
  <c r="AQ301" i="1"/>
  <c r="AQ303" i="1"/>
  <c r="AQ305" i="1"/>
  <c r="AQ307" i="1"/>
  <c r="Y315" i="1"/>
  <c r="AO315" i="1" s="1"/>
  <c r="AI329" i="1"/>
  <c r="AF339" i="1"/>
  <c r="AD341" i="1"/>
  <c r="AF341" i="1" s="1"/>
  <c r="AO341" i="1"/>
  <c r="AO49" i="1"/>
  <c r="AL49" i="1"/>
  <c r="AI49" i="1"/>
  <c r="AC49" i="1"/>
  <c r="AD49" i="1"/>
  <c r="W50" i="1"/>
  <c r="X50" i="1" s="1"/>
  <c r="W62" i="1"/>
  <c r="X62" i="1" s="1"/>
  <c r="W64" i="1"/>
  <c r="X64" i="1" s="1"/>
  <c r="W66" i="1"/>
  <c r="X66" i="1" s="1"/>
  <c r="W68" i="1"/>
  <c r="X68" i="1" s="1"/>
  <c r="W72" i="1"/>
  <c r="X72" i="1" s="1"/>
  <c r="W74" i="1"/>
  <c r="X74" i="1" s="1"/>
  <c r="W95" i="1"/>
  <c r="X95" i="1" s="1"/>
  <c r="W102" i="1"/>
  <c r="X102" i="1" s="1"/>
  <c r="AQ121" i="1"/>
  <c r="AO121" i="1"/>
  <c r="AI121" i="1"/>
  <c r="AC121" i="1"/>
  <c r="AL121" i="1"/>
  <c r="AQ125" i="1"/>
  <c r="AO125" i="1"/>
  <c r="AL125" i="1"/>
  <c r="AI125" i="1"/>
  <c r="AF125" i="1"/>
  <c r="AC125" i="1"/>
  <c r="Z125" i="1"/>
  <c r="AQ130" i="1"/>
  <c r="AO130" i="1"/>
  <c r="AL130" i="1"/>
  <c r="AI130" i="1"/>
  <c r="AF130" i="1"/>
  <c r="AC130" i="1"/>
  <c r="AQ137" i="1"/>
  <c r="AO137" i="1"/>
  <c r="AL137" i="1"/>
  <c r="AI137" i="1"/>
  <c r="AF137" i="1"/>
  <c r="AC137" i="1"/>
  <c r="AQ139" i="1"/>
  <c r="AO139" i="1"/>
  <c r="AI139" i="1"/>
  <c r="AC139" i="1"/>
  <c r="AL139" i="1"/>
  <c r="AQ141" i="1"/>
  <c r="AO141" i="1"/>
  <c r="AI141" i="1"/>
  <c r="AC141" i="1"/>
  <c r="AL141" i="1"/>
  <c r="W163" i="1"/>
  <c r="X163" i="1" s="1"/>
  <c r="AF164" i="1"/>
  <c r="AI164" i="1"/>
  <c r="AL164" i="1"/>
  <c r="AO164" i="1"/>
  <c r="AA181" i="1"/>
  <c r="V181" i="1"/>
  <c r="AP183" i="1"/>
  <c r="U184" i="1"/>
  <c r="S184" i="1"/>
  <c r="AQ185" i="1"/>
  <c r="AL185" i="1"/>
  <c r="AF185" i="1"/>
  <c r="AI185" i="1"/>
  <c r="S187" i="1"/>
  <c r="AP188" i="1"/>
  <c r="AP189" i="1"/>
  <c r="AP190" i="1"/>
  <c r="AP191" i="1"/>
  <c r="V195" i="1"/>
  <c r="Y195" i="1" s="1"/>
  <c r="W56" i="1"/>
  <c r="X56" i="1" s="1"/>
  <c r="Y57" i="1"/>
  <c r="Y60" i="1"/>
  <c r="W63" i="1"/>
  <c r="X63" i="1" s="1"/>
  <c r="W65" i="1"/>
  <c r="X65" i="1" s="1"/>
  <c r="W71" i="1"/>
  <c r="X71" i="1" s="1"/>
  <c r="W73" i="1"/>
  <c r="X73" i="1" s="1"/>
  <c r="Y78" i="1"/>
  <c r="Y80" i="1"/>
  <c r="Y82" i="1"/>
  <c r="Y84" i="1"/>
  <c r="Y86" i="1"/>
  <c r="Y89" i="1"/>
  <c r="W90" i="1"/>
  <c r="X90" i="1" s="1"/>
  <c r="W94" i="1"/>
  <c r="X94" i="1" s="1"/>
  <c r="W96" i="1"/>
  <c r="X96" i="1" s="1"/>
  <c r="Y97" i="1"/>
  <c r="Y100" i="1"/>
  <c r="Y104" i="1"/>
  <c r="Y106" i="1"/>
  <c r="AQ106" i="1" s="1"/>
  <c r="W107" i="1"/>
  <c r="X107" i="1" s="1"/>
  <c r="W111" i="1"/>
  <c r="X111" i="1" s="1"/>
  <c r="AQ117" i="1"/>
  <c r="AO117" i="1"/>
  <c r="AI117" i="1"/>
  <c r="AC117" i="1"/>
  <c r="AL117" i="1"/>
  <c r="AF121" i="1"/>
  <c r="Y122" i="1"/>
  <c r="AQ123" i="1"/>
  <c r="AO123" i="1"/>
  <c r="AL123" i="1"/>
  <c r="AI123" i="1"/>
  <c r="AF123" i="1"/>
  <c r="AC123" i="1"/>
  <c r="Z123" i="1"/>
  <c r="AQ127" i="1"/>
  <c r="AO127" i="1"/>
  <c r="AL127" i="1"/>
  <c r="AI127" i="1"/>
  <c r="AF127" i="1"/>
  <c r="AC127" i="1"/>
  <c r="AQ132" i="1"/>
  <c r="AO132" i="1"/>
  <c r="AI132" i="1"/>
  <c r="AC132" i="1"/>
  <c r="AL132" i="1"/>
  <c r="AF139" i="1"/>
  <c r="AF141" i="1"/>
  <c r="Y142" i="1"/>
  <c r="Z142" i="1" s="1"/>
  <c r="AA164" i="1"/>
  <c r="AL165" i="1"/>
  <c r="AF165" i="1"/>
  <c r="AA165" i="1"/>
  <c r="AI165" i="1"/>
  <c r="AL166" i="1"/>
  <c r="AF166" i="1"/>
  <c r="AA166" i="1"/>
  <c r="AI166" i="1"/>
  <c r="S181" i="1"/>
  <c r="W181" i="1"/>
  <c r="X181" i="1" s="1"/>
  <c r="T184" i="1"/>
  <c r="AP184" i="1"/>
  <c r="AC185" i="1"/>
  <c r="AO185" i="1"/>
  <c r="AP186" i="1"/>
  <c r="U187" i="1"/>
  <c r="Y187" i="1" s="1"/>
  <c r="AO187" i="1" s="1"/>
  <c r="AP187" i="1"/>
  <c r="Y190" i="1"/>
  <c r="AP192" i="1"/>
  <c r="AP193" i="1"/>
  <c r="AP194" i="1"/>
  <c r="AQ201" i="1"/>
  <c r="AF120" i="1"/>
  <c r="AF124" i="1"/>
  <c r="AF126" i="1"/>
  <c r="AF128" i="1"/>
  <c r="AF131" i="1"/>
  <c r="AF136" i="1"/>
  <c r="AF140" i="1"/>
  <c r="Y189" i="1"/>
  <c r="S195" i="1"/>
  <c r="AF196" i="1"/>
  <c r="AA198" i="1"/>
  <c r="AB198" i="1" s="1"/>
  <c r="AF198" i="1"/>
  <c r="AI198" i="1"/>
  <c r="AL198" i="1"/>
  <c r="AO198" i="1"/>
  <c r="AI201" i="1"/>
  <c r="AO201" i="1"/>
  <c r="AI202" i="1"/>
  <c r="AO202" i="1"/>
  <c r="AQ203" i="1"/>
  <c r="AO203" i="1"/>
  <c r="AL203" i="1"/>
  <c r="AI203" i="1"/>
  <c r="AF203" i="1"/>
  <c r="AQ204" i="1"/>
  <c r="AQ207" i="1"/>
  <c r="AQ209" i="1"/>
  <c r="AF272" i="1"/>
  <c r="AL272" i="1"/>
  <c r="AJ274" i="1"/>
  <c r="AO274" i="1"/>
  <c r="AF275" i="1"/>
  <c r="AJ275" i="1"/>
  <c r="AO275" i="1"/>
  <c r="AF276" i="1"/>
  <c r="AJ276" i="1"/>
  <c r="AO276" i="1"/>
  <c r="AF277" i="1"/>
  <c r="AJ277" i="1"/>
  <c r="AO277" i="1"/>
  <c r="AF278" i="1"/>
  <c r="AJ278" i="1"/>
  <c r="AO278" i="1"/>
  <c r="AF281" i="1"/>
  <c r="AL281" i="1"/>
  <c r="AF283" i="1"/>
  <c r="AL283" i="1"/>
  <c r="AF285" i="1"/>
  <c r="AL285" i="1"/>
  <c r="AF289" i="1"/>
  <c r="AL289" i="1"/>
  <c r="AF291" i="1"/>
  <c r="AL291" i="1"/>
  <c r="AF293" i="1"/>
  <c r="AL293" i="1"/>
  <c r="AF294" i="1"/>
  <c r="AL294" i="1"/>
  <c r="AF296" i="1"/>
  <c r="AL296" i="1"/>
  <c r="AF299" i="1"/>
  <c r="AL299" i="1"/>
  <c r="AF301" i="1"/>
  <c r="AL301" i="1"/>
  <c r="AF303" i="1"/>
  <c r="AL303" i="1"/>
  <c r="AF305" i="1"/>
  <c r="AL305" i="1"/>
  <c r="AF307" i="1"/>
  <c r="AL307" i="1"/>
  <c r="AQ309" i="1"/>
  <c r="AO309" i="1"/>
  <c r="AI309" i="1"/>
  <c r="AC309" i="1"/>
  <c r="AL309" i="1"/>
  <c r="AI204" i="1"/>
  <c r="AO204" i="1"/>
  <c r="AI205" i="1"/>
  <c r="AO205" i="1"/>
  <c r="AI207" i="1"/>
  <c r="AO207" i="1"/>
  <c r="AI208" i="1"/>
  <c r="AO208" i="1"/>
  <c r="AI209" i="1"/>
  <c r="AO209" i="1"/>
  <c r="AI210" i="1"/>
  <c r="AO210" i="1"/>
  <c r="AC272" i="1"/>
  <c r="AI272" i="1"/>
  <c r="AO272" i="1"/>
  <c r="AF273" i="1"/>
  <c r="AC274" i="1"/>
  <c r="AF274" i="1"/>
  <c r="AC275" i="1"/>
  <c r="AC276" i="1"/>
  <c r="AC277" i="1"/>
  <c r="AC278" i="1"/>
  <c r="AC279" i="1"/>
  <c r="AF279" i="1"/>
  <c r="AI279" i="1"/>
  <c r="AL279" i="1"/>
  <c r="AO279" i="1"/>
  <c r="AF280" i="1"/>
  <c r="AC281" i="1"/>
  <c r="AI281" i="1"/>
  <c r="AO281" i="1"/>
  <c r="AF282" i="1"/>
  <c r="AC283" i="1"/>
  <c r="AI283" i="1"/>
  <c r="AO283" i="1"/>
  <c r="AF284" i="1"/>
  <c r="AC285" i="1"/>
  <c r="AI285" i="1"/>
  <c r="AO285" i="1"/>
  <c r="AF286" i="1"/>
  <c r="AC289" i="1"/>
  <c r="AI289" i="1"/>
  <c r="AO289" i="1"/>
  <c r="AC291" i="1"/>
  <c r="AI291" i="1"/>
  <c r="AO291" i="1"/>
  <c r="AF292" i="1"/>
  <c r="AC293" i="1"/>
  <c r="AI293" i="1"/>
  <c r="AO293" i="1"/>
  <c r="AC294" i="1"/>
  <c r="AI294" i="1"/>
  <c r="AO294" i="1"/>
  <c r="AC296" i="1"/>
  <c r="AI296" i="1"/>
  <c r="AO296" i="1"/>
  <c r="AF298" i="1"/>
  <c r="AC299" i="1"/>
  <c r="AI299" i="1"/>
  <c r="AO299" i="1"/>
  <c r="AF300" i="1"/>
  <c r="AC301" i="1"/>
  <c r="AI301" i="1"/>
  <c r="AO301" i="1"/>
  <c r="AC303" i="1"/>
  <c r="AI303" i="1"/>
  <c r="AO303" i="1"/>
  <c r="AF304" i="1"/>
  <c r="AC305" i="1"/>
  <c r="AI305" i="1"/>
  <c r="AO305" i="1"/>
  <c r="AF306" i="1"/>
  <c r="AC307" i="1"/>
  <c r="AI307" i="1"/>
  <c r="AO307" i="1"/>
  <c r="AF309" i="1"/>
  <c r="Y310" i="1"/>
  <c r="AQ311" i="1"/>
  <c r="AO311" i="1"/>
  <c r="AI311" i="1"/>
  <c r="AC311" i="1"/>
  <c r="AL311" i="1"/>
  <c r="AO314" i="1"/>
  <c r="AQ314" i="1"/>
  <c r="AC329" i="1"/>
  <c r="AD329" i="1"/>
  <c r="AO329" i="1"/>
  <c r="AF312" i="1"/>
  <c r="Y337" i="1"/>
  <c r="Z329" i="1" s="1"/>
  <c r="AC341" i="1"/>
  <c r="AL342" i="1"/>
  <c r="AF342" i="1"/>
  <c r="AM342" i="1"/>
  <c r="AO401" i="1"/>
  <c r="AI401" i="1"/>
  <c r="AC401" i="1"/>
  <c r="AL401" i="1"/>
  <c r="AD330" i="1"/>
  <c r="AI330" i="1"/>
  <c r="AO330" i="1"/>
  <c r="AD331" i="1"/>
  <c r="AI331" i="1"/>
  <c r="AO331" i="1"/>
  <c r="AI332" i="1"/>
  <c r="AO332" i="1"/>
  <c r="AD333" i="1"/>
  <c r="AI333" i="1"/>
  <c r="AO333" i="1"/>
  <c r="AD334" i="1"/>
  <c r="AI334" i="1"/>
  <c r="AO334" i="1"/>
  <c r="AD335" i="1"/>
  <c r="AI335" i="1"/>
  <c r="AO335" i="1"/>
  <c r="AI336" i="1"/>
  <c r="AO336" i="1"/>
  <c r="AD338" i="1"/>
  <c r="AI338" i="1"/>
  <c r="AO338" i="1"/>
  <c r="AI339" i="1"/>
  <c r="AO339" i="1"/>
  <c r="AD340" i="1"/>
  <c r="AI340" i="1"/>
  <c r="AO340" i="1"/>
  <c r="AM343" i="1"/>
  <c r="AN343" i="1" s="1"/>
  <c r="AD344" i="1"/>
  <c r="AE344" i="1" s="1"/>
  <c r="AI344" i="1"/>
  <c r="AL344" i="1"/>
  <c r="AO344" i="1"/>
  <c r="AF401" i="1"/>
  <c r="AM402" i="1" l="1"/>
  <c r="AJ402" i="1"/>
  <c r="AJ403" i="1" s="1"/>
  <c r="AN329" i="1"/>
  <c r="AN402" i="1" s="1"/>
  <c r="Y184" i="1"/>
  <c r="AC184" i="1" s="1"/>
  <c r="U402" i="1"/>
  <c r="Z115" i="1"/>
  <c r="AC273" i="1"/>
  <c r="AB271" i="1"/>
  <c r="AD98" i="1"/>
  <c r="AP98" i="1" s="1"/>
  <c r="AQ98" i="1" s="1"/>
  <c r="AL76" i="1"/>
  <c r="AC58" i="1"/>
  <c r="AC67" i="1"/>
  <c r="AO108" i="1"/>
  <c r="AQ108" i="1"/>
  <c r="AC85" i="1"/>
  <c r="AL51" i="1"/>
  <c r="AC83" i="1"/>
  <c r="AL105" i="1"/>
  <c r="AL103" i="1"/>
  <c r="AD88" i="1"/>
  <c r="AP88" i="1" s="1"/>
  <c r="AQ88" i="1" s="1"/>
  <c r="AC99" i="1"/>
  <c r="AO109" i="1"/>
  <c r="AQ109" i="1"/>
  <c r="AC101" i="1"/>
  <c r="AL79" i="1"/>
  <c r="AC81" i="1"/>
  <c r="AD93" i="1"/>
  <c r="AP93" i="1" s="1"/>
  <c r="AQ93" i="1" s="1"/>
  <c r="V402" i="1"/>
  <c r="AL110" i="1"/>
  <c r="X52" i="1"/>
  <c r="X402" i="1" s="1"/>
  <c r="W402" i="1"/>
  <c r="AP49" i="1"/>
  <c r="AQ49" i="1" s="1"/>
  <c r="AA113" i="1"/>
  <c r="Z113" i="1"/>
  <c r="AC286" i="1"/>
  <c r="AB279" i="1"/>
  <c r="Z130" i="1"/>
  <c r="AP400" i="1"/>
  <c r="AQ400" i="1" s="1"/>
  <c r="AB400" i="1"/>
  <c r="AK274" i="1"/>
  <c r="AK402" i="1" s="1"/>
  <c r="AB164" i="1"/>
  <c r="AC332" i="1"/>
  <c r="AE329" i="1"/>
  <c r="AC400" i="1"/>
  <c r="AO199" i="1"/>
  <c r="Z198" i="1"/>
  <c r="AI194" i="1"/>
  <c r="Z194" i="1"/>
  <c r="Z189" i="1"/>
  <c r="AC188" i="1"/>
  <c r="Z188" i="1"/>
  <c r="Y92" i="1"/>
  <c r="AO76" i="1"/>
  <c r="Y163" i="1"/>
  <c r="AL180" i="1"/>
  <c r="AH402" i="1"/>
  <c r="AL194" i="1"/>
  <c r="AP286" i="1"/>
  <c r="AQ286" i="1" s="1"/>
  <c r="AP205" i="1"/>
  <c r="AQ205" i="1" s="1"/>
  <c r="AD67" i="1"/>
  <c r="AF67" i="1" s="1"/>
  <c r="AL67" i="1"/>
  <c r="AP339" i="1"/>
  <c r="AQ339" i="1" s="1"/>
  <c r="AF88" i="1"/>
  <c r="AI67" i="1"/>
  <c r="AI101" i="1"/>
  <c r="AL109" i="1"/>
  <c r="AO101" i="1"/>
  <c r="AC79" i="1"/>
  <c r="AL138" i="1"/>
  <c r="AL101" i="1"/>
  <c r="AO197" i="1"/>
  <c r="AF180" i="1"/>
  <c r="AL315" i="1"/>
  <c r="AC135" i="1"/>
  <c r="AP336" i="1"/>
  <c r="AQ336" i="1" s="1"/>
  <c r="AD79" i="1"/>
  <c r="AP79" i="1" s="1"/>
  <c r="AQ79" i="1" s="1"/>
  <c r="AC103" i="1"/>
  <c r="AF182" i="1"/>
  <c r="AF308" i="1"/>
  <c r="AI192" i="1"/>
  <c r="AL188" i="1"/>
  <c r="AQ308" i="1"/>
  <c r="AC118" i="1"/>
  <c r="AI108" i="1"/>
  <c r="AI83" i="1"/>
  <c r="AI182" i="1"/>
  <c r="AL135" i="1"/>
  <c r="AO135" i="1"/>
  <c r="AL308" i="1"/>
  <c r="AF108" i="1"/>
  <c r="AD83" i="1"/>
  <c r="AP83" i="1" s="1"/>
  <c r="AQ83" i="1" s="1"/>
  <c r="AQ118" i="1"/>
  <c r="AL118" i="1"/>
  <c r="AL108" i="1"/>
  <c r="AL83" i="1"/>
  <c r="AC51" i="1"/>
  <c r="AI138" i="1"/>
  <c r="AO105" i="1"/>
  <c r="AI197" i="1"/>
  <c r="AC183" i="1"/>
  <c r="AO180" i="1"/>
  <c r="AQ138" i="1"/>
  <c r="AF110" i="1"/>
  <c r="AC76" i="1"/>
  <c r="AC186" i="1"/>
  <c r="AF119" i="1"/>
  <c r="AP341" i="1"/>
  <c r="AQ341" i="1" s="1"/>
  <c r="Z308" i="1"/>
  <c r="AC308" i="1"/>
  <c r="AI308" i="1"/>
  <c r="AQ194" i="1"/>
  <c r="AI118" i="1"/>
  <c r="AF109" i="1"/>
  <c r="AD103" i="1"/>
  <c r="AF103" i="1" s="1"/>
  <c r="AD101" i="1"/>
  <c r="AP101" i="1" s="1"/>
  <c r="AQ101" i="1" s="1"/>
  <c r="AO83" i="1"/>
  <c r="AO79" i="1"/>
  <c r="AO67" i="1"/>
  <c r="AF194" i="1"/>
  <c r="AF192" i="1"/>
  <c r="AO118" i="1"/>
  <c r="AI109" i="1"/>
  <c r="AC108" i="1"/>
  <c r="AI79" i="1"/>
  <c r="AO182" i="1"/>
  <c r="AA182" i="1"/>
  <c r="AP182" i="1" s="1"/>
  <c r="AQ182" i="1" s="1"/>
  <c r="AF135" i="1"/>
  <c r="AI135" i="1"/>
  <c r="AQ199" i="1"/>
  <c r="AD81" i="1"/>
  <c r="AP81" i="1" s="1"/>
  <c r="AQ81" i="1" s="1"/>
  <c r="AD76" i="1"/>
  <c r="AP76" i="1" s="1"/>
  <c r="AQ76" i="1" s="1"/>
  <c r="AO58" i="1"/>
  <c r="AD51" i="1"/>
  <c r="AF51" i="1" s="1"/>
  <c r="AQ315" i="1"/>
  <c r="AI188" i="1"/>
  <c r="AF186" i="1"/>
  <c r="AC138" i="1"/>
  <c r="AL134" i="1"/>
  <c r="AC105" i="1"/>
  <c r="AL99" i="1"/>
  <c r="AI85" i="1"/>
  <c r="AL81" i="1"/>
  <c r="AI76" i="1"/>
  <c r="AI58" i="1"/>
  <c r="AI199" i="1"/>
  <c r="AI191" i="1"/>
  <c r="AQ119" i="1"/>
  <c r="AI193" i="1"/>
  <c r="AI315" i="1"/>
  <c r="AC180" i="1"/>
  <c r="AQ193" i="1"/>
  <c r="AF183" i="1"/>
  <c r="AF134" i="1"/>
  <c r="AI110" i="1"/>
  <c r="AD105" i="1"/>
  <c r="AP105" i="1" s="1"/>
  <c r="AQ105" i="1" s="1"/>
  <c r="AO99" i="1"/>
  <c r="AD85" i="1"/>
  <c r="AF85" i="1" s="1"/>
  <c r="AF191" i="1"/>
  <c r="AQ188" i="1"/>
  <c r="AO183" i="1"/>
  <c r="AO138" i="1"/>
  <c r="AF138" i="1"/>
  <c r="AI134" i="1"/>
  <c r="AI105" i="1"/>
  <c r="AI99" i="1"/>
  <c r="AL85" i="1"/>
  <c r="AI81" i="1"/>
  <c r="AL58" i="1"/>
  <c r="AC199" i="1"/>
  <c r="AL199" i="1"/>
  <c r="AF197" i="1"/>
  <c r="AL191" i="1"/>
  <c r="AI119" i="1"/>
  <c r="AC193" i="1"/>
  <c r="AO193" i="1"/>
  <c r="AC192" i="1"/>
  <c r="AL197" i="1"/>
  <c r="AO192" i="1"/>
  <c r="AQ192" i="1"/>
  <c r="AF188" i="1"/>
  <c r="AQ186" i="1"/>
  <c r="AA110" i="1"/>
  <c r="AO103" i="1"/>
  <c r="AD99" i="1"/>
  <c r="AF99" i="1" s="1"/>
  <c r="AO85" i="1"/>
  <c r="AO81" i="1"/>
  <c r="AD58" i="1"/>
  <c r="AF58" i="1" s="1"/>
  <c r="AO51" i="1"/>
  <c r="Z192" i="1"/>
  <c r="AQ191" i="1"/>
  <c r="AO188" i="1"/>
  <c r="AO186" i="1"/>
  <c r="AC134" i="1"/>
  <c r="AO134" i="1"/>
  <c r="AO110" i="1"/>
  <c r="AC109" i="1"/>
  <c r="AI103" i="1"/>
  <c r="AI51" i="1"/>
  <c r="AF199" i="1"/>
  <c r="AO191" i="1"/>
  <c r="AI186" i="1"/>
  <c r="AL119" i="1"/>
  <c r="AC119" i="1"/>
  <c r="AQ197" i="1"/>
  <c r="Y102" i="1"/>
  <c r="Y95" i="1"/>
  <c r="AC194" i="1"/>
  <c r="AO194" i="1"/>
  <c r="AL183" i="1"/>
  <c r="AQ180" i="1"/>
  <c r="AI180" i="1"/>
  <c r="AF193" i="1"/>
  <c r="AL193" i="1"/>
  <c r="Y68" i="1"/>
  <c r="Y69" i="1"/>
  <c r="Y61" i="1"/>
  <c r="AP332" i="1"/>
  <c r="AQ332" i="1" s="1"/>
  <c r="Y111" i="1"/>
  <c r="Y107" i="1"/>
  <c r="Y96" i="1"/>
  <c r="Y94" i="1"/>
  <c r="Y90" i="1"/>
  <c r="AF315" i="1"/>
  <c r="AC315" i="1"/>
  <c r="Y50" i="1"/>
  <c r="AQ195" i="1"/>
  <c r="AO195" i="1"/>
  <c r="AL195" i="1"/>
  <c r="AL189" i="1"/>
  <c r="AI189" i="1"/>
  <c r="AQ189" i="1"/>
  <c r="AC189" i="1"/>
  <c r="AP165" i="1"/>
  <c r="AQ165" i="1" s="1"/>
  <c r="AC165" i="1"/>
  <c r="AL104" i="1"/>
  <c r="AC104" i="1"/>
  <c r="AI104" i="1"/>
  <c r="AO104" i="1"/>
  <c r="AD104" i="1"/>
  <c r="AL97" i="1"/>
  <c r="AC97" i="1"/>
  <c r="AI97" i="1"/>
  <c r="AO97" i="1"/>
  <c r="AD97" i="1"/>
  <c r="AL84" i="1"/>
  <c r="AC84" i="1"/>
  <c r="AI84" i="1"/>
  <c r="AO84" i="1"/>
  <c r="AD84" i="1"/>
  <c r="AQ183" i="1"/>
  <c r="AF344" i="1"/>
  <c r="AP344" i="1"/>
  <c r="AQ344" i="1" s="1"/>
  <c r="AP340" i="1"/>
  <c r="AQ340" i="1" s="1"/>
  <c r="AF340" i="1"/>
  <c r="AP335" i="1"/>
  <c r="AQ335" i="1" s="1"/>
  <c r="AF335" i="1"/>
  <c r="AP333" i="1"/>
  <c r="AQ333" i="1" s="1"/>
  <c r="AF333" i="1"/>
  <c r="AP330" i="1"/>
  <c r="AQ330" i="1" s="1"/>
  <c r="AF330" i="1"/>
  <c r="AO189" i="1"/>
  <c r="AQ187" i="1"/>
  <c r="AL187" i="1"/>
  <c r="AI187" i="1"/>
  <c r="AF187" i="1"/>
  <c r="AC187" i="1"/>
  <c r="AP164" i="1"/>
  <c r="AQ164" i="1" s="1"/>
  <c r="AC164" i="1"/>
  <c r="AL80" i="1"/>
  <c r="AC80" i="1"/>
  <c r="AI80" i="1"/>
  <c r="AO80" i="1"/>
  <c r="AD80" i="1"/>
  <c r="AL60" i="1"/>
  <c r="AC60" i="1"/>
  <c r="AI60" i="1"/>
  <c r="AO60" i="1"/>
  <c r="AD60" i="1"/>
  <c r="Y181" i="1"/>
  <c r="AC181" i="1" s="1"/>
  <c r="AP181" i="1"/>
  <c r="AP402" i="1" s="1"/>
  <c r="AO343" i="1"/>
  <c r="AP343" i="1"/>
  <c r="AQ343" i="1" s="1"/>
  <c r="AP338" i="1"/>
  <c r="AQ338" i="1" s="1"/>
  <c r="AF338" i="1"/>
  <c r="AP334" i="1"/>
  <c r="AQ334" i="1" s="1"/>
  <c r="AF334" i="1"/>
  <c r="AP331" i="1"/>
  <c r="AQ331" i="1" s="1"/>
  <c r="AF331" i="1"/>
  <c r="AO342" i="1"/>
  <c r="AP342" i="1"/>
  <c r="AQ342" i="1" s="1"/>
  <c r="AO337" i="1"/>
  <c r="AI337" i="1"/>
  <c r="AF337" i="1"/>
  <c r="AL337" i="1"/>
  <c r="AA337" i="1"/>
  <c r="AB329" i="1" s="1"/>
  <c r="AP329" i="1"/>
  <c r="AQ329" i="1" s="1"/>
  <c r="AF329" i="1"/>
  <c r="AL310" i="1"/>
  <c r="AF310" i="1"/>
  <c r="AQ310" i="1"/>
  <c r="AO310" i="1"/>
  <c r="AC310" i="1"/>
  <c r="AI310" i="1"/>
  <c r="AP278" i="1"/>
  <c r="AQ278" i="1" s="1"/>
  <c r="AL278" i="1"/>
  <c r="AP277" i="1"/>
  <c r="AQ277" i="1" s="1"/>
  <c r="AL277" i="1"/>
  <c r="AP276" i="1"/>
  <c r="AQ276" i="1" s="1"/>
  <c r="AL276" i="1"/>
  <c r="AP275" i="1"/>
  <c r="AQ275" i="1" s="1"/>
  <c r="AL275" i="1"/>
  <c r="AP274" i="1"/>
  <c r="AQ274" i="1" s="1"/>
  <c r="AL274" i="1"/>
  <c r="AC198" i="1"/>
  <c r="AP198" i="1"/>
  <c r="AQ198" i="1" s="1"/>
  <c r="AL190" i="1"/>
  <c r="AC190" i="1"/>
  <c r="AQ190" i="1"/>
  <c r="AI190" i="1"/>
  <c r="AO190" i="1"/>
  <c r="AP166" i="1"/>
  <c r="AQ166" i="1" s="1"/>
  <c r="AC166" i="1"/>
  <c r="AQ142" i="1"/>
  <c r="AO142" i="1"/>
  <c r="AL142" i="1"/>
  <c r="AI142" i="1"/>
  <c r="AF142" i="1"/>
  <c r="AC142" i="1"/>
  <c r="AL122" i="1"/>
  <c r="AF122" i="1"/>
  <c r="AQ122" i="1"/>
  <c r="AO122" i="1"/>
  <c r="AC122" i="1"/>
  <c r="AI122" i="1"/>
  <c r="AO106" i="1"/>
  <c r="AL106" i="1"/>
  <c r="AI106" i="1"/>
  <c r="AF106" i="1"/>
  <c r="AC106" i="1"/>
  <c r="AL100" i="1"/>
  <c r="AC100" i="1"/>
  <c r="AI100" i="1"/>
  <c r="AO100" i="1"/>
  <c r="AD100" i="1"/>
  <c r="AL89" i="1"/>
  <c r="AC89" i="1"/>
  <c r="AI89" i="1"/>
  <c r="AO89" i="1"/>
  <c r="AD89" i="1"/>
  <c r="AL86" i="1"/>
  <c r="AC86" i="1"/>
  <c r="AI86" i="1"/>
  <c r="AO86" i="1"/>
  <c r="AD86" i="1"/>
  <c r="AL82" i="1"/>
  <c r="AC82" i="1"/>
  <c r="AI82" i="1"/>
  <c r="AO82" i="1"/>
  <c r="AD82" i="1"/>
  <c r="AL78" i="1"/>
  <c r="AC78" i="1"/>
  <c r="AI78" i="1"/>
  <c r="AO78" i="1"/>
  <c r="AD78" i="1"/>
  <c r="Y73" i="1"/>
  <c r="Y71" i="1"/>
  <c r="Y65" i="1"/>
  <c r="Y63" i="1"/>
  <c r="AL57" i="1"/>
  <c r="AC57" i="1"/>
  <c r="AI57" i="1"/>
  <c r="AO57" i="1"/>
  <c r="AD57" i="1"/>
  <c r="Y56" i="1"/>
  <c r="AF190" i="1"/>
  <c r="AF189" i="1"/>
  <c r="Y74" i="1"/>
  <c r="Y72" i="1"/>
  <c r="Y66" i="1"/>
  <c r="Y64" i="1"/>
  <c r="Y62" i="1"/>
  <c r="AL184" i="1" l="1"/>
  <c r="AO184" i="1"/>
  <c r="AI184" i="1"/>
  <c r="AQ184" i="1"/>
  <c r="AF184" i="1"/>
  <c r="AI96" i="1"/>
  <c r="AO102" i="1"/>
  <c r="AF107" i="1"/>
  <c r="AQ107" i="1"/>
  <c r="AD74" i="1"/>
  <c r="AI90" i="1"/>
  <c r="Z110" i="1"/>
  <c r="AI68" i="1"/>
  <c r="Y52" i="1"/>
  <c r="AC52" i="1" s="1"/>
  <c r="AO94" i="1"/>
  <c r="AI95" i="1"/>
  <c r="AD92" i="1"/>
  <c r="AF92" i="1" s="1"/>
  <c r="AI52" i="1"/>
  <c r="AI92" i="1"/>
  <c r="AI163" i="1"/>
  <c r="Z162" i="1"/>
  <c r="AF163" i="1"/>
  <c r="AD50" i="1"/>
  <c r="AC92" i="1"/>
  <c r="AB113" i="1"/>
  <c r="AP113" i="1"/>
  <c r="AQ113" i="1" s="1"/>
  <c r="Z106" i="1"/>
  <c r="AB180" i="1"/>
  <c r="Z180" i="1"/>
  <c r="AO92" i="1"/>
  <c r="AL92" i="1"/>
  <c r="AO163" i="1"/>
  <c r="AA163" i="1"/>
  <c r="AC163" i="1" s="1"/>
  <c r="AL163" i="1"/>
  <c r="AC110" i="1"/>
  <c r="AP67" i="1"/>
  <c r="AQ67" i="1" s="1"/>
  <c r="AD96" i="1"/>
  <c r="AF96" i="1" s="1"/>
  <c r="AP51" i="1"/>
  <c r="AQ51" i="1" s="1"/>
  <c r="AP103" i="1"/>
  <c r="AQ103" i="1" s="1"/>
  <c r="AC182" i="1"/>
  <c r="AF79" i="1"/>
  <c r="AP110" i="1"/>
  <c r="AQ110" i="1" s="1"/>
  <c r="AF81" i="1"/>
  <c r="AP99" i="1"/>
  <c r="AQ99" i="1" s="1"/>
  <c r="AF101" i="1"/>
  <c r="AI111" i="1"/>
  <c r="AL102" i="1"/>
  <c r="AD95" i="1"/>
  <c r="AP95" i="1" s="1"/>
  <c r="AQ95" i="1" s="1"/>
  <c r="AM403" i="1"/>
  <c r="AF76" i="1"/>
  <c r="AF105" i="1"/>
  <c r="AF83" i="1"/>
  <c r="AO68" i="1"/>
  <c r="AO90" i="1"/>
  <c r="AC68" i="1"/>
  <c r="AP85" i="1"/>
  <c r="AQ85" i="1" s="1"/>
  <c r="AP58" i="1"/>
  <c r="AQ58" i="1" s="1"/>
  <c r="AD68" i="1"/>
  <c r="AF68" i="1" s="1"/>
  <c r="AI107" i="1"/>
  <c r="AL107" i="1"/>
  <c r="AL50" i="1"/>
  <c r="AC95" i="1"/>
  <c r="AO95" i="1"/>
  <c r="AI94" i="1"/>
  <c r="AC90" i="1"/>
  <c r="AO107" i="1"/>
  <c r="AC50" i="1"/>
  <c r="AL95" i="1"/>
  <c r="AC96" i="1"/>
  <c r="AO96" i="1"/>
  <c r="AA111" i="1"/>
  <c r="AB110" i="1" s="1"/>
  <c r="AL68" i="1"/>
  <c r="AI102" i="1"/>
  <c r="AD90" i="1"/>
  <c r="AP90" i="1" s="1"/>
  <c r="AQ90" i="1" s="1"/>
  <c r="AC107" i="1"/>
  <c r="AI50" i="1"/>
  <c r="AI402" i="1" s="1"/>
  <c r="AC102" i="1"/>
  <c r="AD102" i="1"/>
  <c r="AP102" i="1" s="1"/>
  <c r="AQ102" i="1" s="1"/>
  <c r="AL94" i="1"/>
  <c r="AO50" i="1"/>
  <c r="AC94" i="1"/>
  <c r="AD94" i="1"/>
  <c r="AF94" i="1" s="1"/>
  <c r="AC61" i="1"/>
  <c r="AO61" i="1"/>
  <c r="AL61" i="1"/>
  <c r="AI61" i="1"/>
  <c r="AD61" i="1"/>
  <c r="AL69" i="1"/>
  <c r="AI69" i="1"/>
  <c r="AO69" i="1"/>
  <c r="AC69" i="1"/>
  <c r="AD69" i="1"/>
  <c r="AL96" i="1"/>
  <c r="AF111" i="1"/>
  <c r="AL111" i="1"/>
  <c r="AO111" i="1"/>
  <c r="AL90" i="1"/>
  <c r="AO64" i="1"/>
  <c r="AI64" i="1"/>
  <c r="AD64" i="1"/>
  <c r="AL64" i="1"/>
  <c r="AC64" i="1"/>
  <c r="AO72" i="1"/>
  <c r="AI72" i="1"/>
  <c r="AD72" i="1"/>
  <c r="AL72" i="1"/>
  <c r="AC72" i="1"/>
  <c r="AO162" i="1"/>
  <c r="AL162" i="1"/>
  <c r="AI162" i="1"/>
  <c r="AF162" i="1"/>
  <c r="AA162" i="1"/>
  <c r="AP57" i="1"/>
  <c r="AQ57" i="1" s="1"/>
  <c r="AF57" i="1"/>
  <c r="AO65" i="1"/>
  <c r="AI65" i="1"/>
  <c r="AD65" i="1"/>
  <c r="AL65" i="1"/>
  <c r="AC65" i="1"/>
  <c r="AO73" i="1"/>
  <c r="AI73" i="1"/>
  <c r="AD73" i="1"/>
  <c r="AL73" i="1"/>
  <c r="AC73" i="1"/>
  <c r="AP82" i="1"/>
  <c r="AQ82" i="1" s="1"/>
  <c r="AF82" i="1"/>
  <c r="AP89" i="1"/>
  <c r="AQ89" i="1" s="1"/>
  <c r="AF89" i="1"/>
  <c r="AC337" i="1"/>
  <c r="AP337" i="1"/>
  <c r="AQ337" i="1" s="1"/>
  <c r="AQ181" i="1"/>
  <c r="AL181" i="1"/>
  <c r="AI181" i="1"/>
  <c r="AF181" i="1"/>
  <c r="AO181" i="1"/>
  <c r="AP80" i="1"/>
  <c r="AQ80" i="1" s="1"/>
  <c r="AF80" i="1"/>
  <c r="AP97" i="1"/>
  <c r="AQ97" i="1" s="1"/>
  <c r="AF97" i="1"/>
  <c r="AO62" i="1"/>
  <c r="AI62" i="1"/>
  <c r="AD62" i="1"/>
  <c r="AL62" i="1"/>
  <c r="AC62" i="1"/>
  <c r="AO66" i="1"/>
  <c r="AI66" i="1"/>
  <c r="AD66" i="1"/>
  <c r="AL66" i="1"/>
  <c r="AC66" i="1"/>
  <c r="AF74" i="1"/>
  <c r="AP74" i="1"/>
  <c r="AQ74" i="1" s="1"/>
  <c r="AO56" i="1"/>
  <c r="AI56" i="1"/>
  <c r="AD56" i="1"/>
  <c r="AL56" i="1"/>
  <c r="AC56" i="1"/>
  <c r="AO63" i="1"/>
  <c r="AI63" i="1"/>
  <c r="AD63" i="1"/>
  <c r="AL63" i="1"/>
  <c r="AC63" i="1"/>
  <c r="AO71" i="1"/>
  <c r="AI71" i="1"/>
  <c r="AD71" i="1"/>
  <c r="AL71" i="1"/>
  <c r="AC71" i="1"/>
  <c r="AP78" i="1"/>
  <c r="AQ78" i="1" s="1"/>
  <c r="AF78" i="1"/>
  <c r="AP86" i="1"/>
  <c r="AQ86" i="1" s="1"/>
  <c r="AF86" i="1"/>
  <c r="AP100" i="1"/>
  <c r="AQ100" i="1" s="1"/>
  <c r="AF100" i="1"/>
  <c r="AP60" i="1"/>
  <c r="AQ60" i="1" s="1"/>
  <c r="AF60" i="1"/>
  <c r="AP84" i="1"/>
  <c r="AQ84" i="1" s="1"/>
  <c r="AF84" i="1"/>
  <c r="AP104" i="1"/>
  <c r="AQ104" i="1" s="1"/>
  <c r="AF104" i="1"/>
  <c r="Y402" i="1" l="1"/>
  <c r="AA402" i="1"/>
  <c r="AA403" i="1" s="1"/>
  <c r="AD52" i="1"/>
  <c r="AP52" i="1" s="1"/>
  <c r="AP92" i="1"/>
  <c r="AQ92" i="1" s="1"/>
  <c r="Z49" i="1"/>
  <c r="AO52" i="1"/>
  <c r="AO402" i="1" s="1"/>
  <c r="AQ52" i="1"/>
  <c r="AL52" i="1"/>
  <c r="AL402" i="1" s="1"/>
  <c r="AP68" i="1"/>
  <c r="AQ68" i="1" s="1"/>
  <c r="AP50" i="1"/>
  <c r="AQ50" i="1" s="1"/>
  <c r="AB162" i="1"/>
  <c r="AB402" i="1" s="1"/>
  <c r="AP163" i="1"/>
  <c r="AQ163" i="1" s="1"/>
  <c r="AP96" i="1"/>
  <c r="AQ96" i="1" s="1"/>
  <c r="AP111" i="1"/>
  <c r="AQ111" i="1" s="1"/>
  <c r="AF102" i="1"/>
  <c r="AF95" i="1"/>
  <c r="AF90" i="1"/>
  <c r="AP94" i="1"/>
  <c r="AQ94" i="1" s="1"/>
  <c r="AC111" i="1"/>
  <c r="AP69" i="1"/>
  <c r="AQ69" i="1" s="1"/>
  <c r="AF69" i="1"/>
  <c r="AF61" i="1"/>
  <c r="AP61" i="1"/>
  <c r="AQ61" i="1" s="1"/>
  <c r="AP63" i="1"/>
  <c r="AQ63" i="1" s="1"/>
  <c r="AF63" i="1"/>
  <c r="AP66" i="1"/>
  <c r="AQ66" i="1" s="1"/>
  <c r="AF66" i="1"/>
  <c r="AP65" i="1"/>
  <c r="AQ65" i="1" s="1"/>
  <c r="AF65" i="1"/>
  <c r="AC162" i="1"/>
  <c r="AP162" i="1"/>
  <c r="AQ162" i="1" s="1"/>
  <c r="AP72" i="1"/>
  <c r="AQ72" i="1" s="1"/>
  <c r="AF72" i="1"/>
  <c r="AP71" i="1"/>
  <c r="AQ71" i="1" s="1"/>
  <c r="AF71" i="1"/>
  <c r="AP56" i="1"/>
  <c r="AQ56" i="1" s="1"/>
  <c r="AF56" i="1"/>
  <c r="AP62" i="1"/>
  <c r="AQ62" i="1" s="1"/>
  <c r="AF62" i="1"/>
  <c r="AP73" i="1"/>
  <c r="AQ73" i="1" s="1"/>
  <c r="AF73" i="1"/>
  <c r="AP64" i="1"/>
  <c r="AQ64" i="1" s="1"/>
  <c r="AF64" i="1"/>
  <c r="AD402" i="1" l="1"/>
  <c r="AD403" i="1" s="1"/>
  <c r="AF52" i="1"/>
  <c r="AF402" i="1" s="1"/>
  <c r="Z402" i="1"/>
  <c r="Z403" i="1" s="1"/>
  <c r="AE49" i="1"/>
  <c r="AE402" i="1" s="1"/>
  <c r="AC402" i="1"/>
  <c r="AP403" i="1"/>
  <c r="Y403" i="1"/>
</calcChain>
</file>

<file path=xl/comments1.xml><?xml version="1.0" encoding="utf-8"?>
<comments xmlns="http://schemas.openxmlformats.org/spreadsheetml/2006/main">
  <authors>
    <author/>
    <author>carlos muñoz</author>
  </authors>
  <commentList>
    <comment ref="K130" authorId="0" shapeId="0">
      <text>
        <r>
          <rPr>
            <sz val="11"/>
            <color rgb="FF000000"/>
            <rFont val="Calibri"/>
            <family val="2"/>
          </rPr>
          <t xml:space="preserve">hp:
Creación de estímulos </t>
        </r>
      </text>
    </comment>
    <comment ref="K131" authorId="0" shapeId="0">
      <text>
        <r>
          <rPr>
            <sz val="11"/>
            <color rgb="FF000000"/>
            <rFont val="Calibri"/>
            <family val="2"/>
          </rPr>
          <t>hp:
apoyar eventos culturales y artísticos 
Inclusión de diferentes géneros y escuelas de baile</t>
        </r>
      </text>
    </comment>
    <comment ref="K132" authorId="0" shapeId="0">
      <text>
        <r>
          <rPr>
            <sz val="11"/>
            <color rgb="FF000000"/>
            <rFont val="Calibri"/>
            <family val="2"/>
          </rPr>
          <t>hp:
Realizar el diagnostico, la formulación e implementación del plan decenal de cultural, alcanzado el 20% de implementación.
Articulación con el plan de desarrollo nacional y departamental, las leyes y políticas públicas y los planes por área que tiene el ministerio de cultura.
Plan de turismo cultural desde la música articulado a gastronomía y patrimonio cultural
plan de comunicación estratégico</t>
        </r>
      </text>
    </comment>
    <comment ref="K135" authorId="0" shapeId="0">
      <text>
        <r>
          <rPr>
            <sz val="11"/>
            <color rgb="FF000000"/>
            <rFont val="Calibri"/>
            <family val="2"/>
          </rPr>
          <t>hp:
inventario y mantenimiento de dotaciones por áreas con las cuenta el municipio (dotación de danzas, música y arte), 
2. Adquisición de nuevas dotaciones por área de  las escuelas culturales
3. Generar una  agenda cultural en las comunas y veredas que se puedan integrar con los procesos establecidos  
4. talleres de formación en las veredas y comunas
5. formación de públicos para incentivar la participación en los procesos de arte y la cultura
6. creación de eventos a través de las escuelas culturales y artististicas en las comunas y veredas como complemento de la formación.
7. Generar una agenda de trabajo con el ministerio de cultura para laarticular los planes por área que se tienen desde nivel nacional</t>
        </r>
      </text>
    </comment>
    <comment ref="K136" authorId="0" shapeId="0">
      <text>
        <r>
          <rPr>
            <sz val="11"/>
            <color rgb="FF000000"/>
            <rFont val="Calibri"/>
            <family val="2"/>
          </rPr>
          <t xml:space="preserve">hp:
Crear el consejo de desarrollo naranja
articular acciones entre la institucionalidad
Formular proyectos
de economía naranja
Crear ente doliente, se tiene un acuerdo del 11 de diciembre firmado por min cultura, actores de cultura y cámara de comercio y otras instituciones. </t>
        </r>
      </text>
    </comment>
    <comment ref="K138" authorId="0" shapeId="0">
      <text>
        <r>
          <rPr>
            <sz val="11"/>
            <color rgb="FF000000"/>
            <rFont val="Calibri"/>
            <family val="2"/>
          </rPr>
          <t>1. Crear pagina de agenda cultural</t>
        </r>
      </text>
    </comment>
    <comment ref="K141" authorId="0" shapeId="0">
      <text>
        <r>
          <rPr>
            <sz val="11"/>
            <color rgb="FF000000"/>
            <rFont val="Calibri"/>
            <family val="2"/>
          </rPr>
          <t>hp:
Crear consejo municipal de cultura
Mejoramiento de la estampilla procultura, se está gestionanado las estampillas y articular las entidades descentralizadas para aumentar el recaudo.</t>
        </r>
      </text>
    </comment>
    <comment ref="M143" authorId="0" shapeId="0">
      <text>
        <r>
          <rPr>
            <sz val="11"/>
            <color rgb="FF000000"/>
            <rFont val="Calibri"/>
            <family val="2"/>
          </rPr>
          <t>Felipe Jiménez:
Línea Base de porcentaje de implementación</t>
        </r>
      </text>
    </comment>
    <comment ref="N143" authorId="0" shapeId="0">
      <text>
        <r>
          <rPr>
            <sz val="11"/>
            <color rgb="FF000000"/>
            <rFont val="Calibri"/>
            <family val="2"/>
          </rPr>
          <t>Felipe Jiménez:
Preguntar a Diana que porcentaje de la Política</t>
        </r>
      </text>
    </comment>
    <comment ref="M144" authorId="0" shapeId="0">
      <text>
        <r>
          <rPr>
            <sz val="11"/>
            <color rgb="FF000000"/>
            <rFont val="Calibri"/>
            <family val="2"/>
          </rPr>
          <t>Felipe Jiménez:
Si hay o no hay y que porcentaje se piensa cumplir.</t>
        </r>
      </text>
    </comment>
    <comment ref="N144" authorId="0" shapeId="0">
      <text>
        <r>
          <rPr>
            <sz val="11"/>
            <color rgb="FF000000"/>
            <rFont val="Calibri"/>
            <family val="2"/>
          </rPr>
          <t>Felipe Jiménez:
Modifico el producto o porcentaje.</t>
        </r>
      </text>
    </comment>
    <comment ref="M145" authorId="0" shapeId="0">
      <text>
        <r>
          <rPr>
            <sz val="11"/>
            <color rgb="FF000000"/>
            <rFont val="Calibri"/>
            <family val="2"/>
          </rPr>
          <t>Felipe Jiménez:
Revisar línea base y hasta que porcentaje nos comprometemos.</t>
        </r>
      </text>
    </comment>
    <comment ref="N146" authorId="0" shapeId="0">
      <text>
        <r>
          <rPr>
            <sz val="11"/>
            <color rgb="FF000000"/>
            <rFont val="Calibri"/>
            <family val="2"/>
          </rPr>
          <t xml:space="preserve">Felipe Jiménez:
Revisar porcentaje muy alto
</t>
        </r>
      </text>
    </comment>
    <comment ref="N148" authorId="0" shapeId="0">
      <text>
        <r>
          <rPr>
            <sz val="11"/>
            <color rgb="FF000000"/>
            <rFont val="Calibri"/>
            <family val="2"/>
          </rPr>
          <t>Felipe Jiménez:
Porcentajes Altos</t>
        </r>
      </text>
    </comment>
    <comment ref="N152" authorId="0" shapeId="0">
      <text>
        <r>
          <rPr>
            <sz val="11"/>
            <color rgb="FF000000"/>
            <rFont val="Calibri"/>
            <family val="2"/>
          </rPr>
          <t>Felipe Jiménez:
Revisar Porcentaje muy alto</t>
        </r>
      </text>
    </comment>
    <comment ref="K171" authorId="0" shapeId="0">
      <text>
        <r>
          <rPr>
            <sz val="11"/>
            <color rgb="FF000000"/>
            <rFont val="Calibri"/>
            <family val="2"/>
          </rPr>
          <t xml:space="preserve">vidalHurtado:
Contiene todas las obras que el AAPSA mencionó en saneamiento y vertimientos. </t>
        </r>
      </text>
    </comment>
    <comment ref="N215" authorId="0" shapeId="0">
      <text>
        <r>
          <rPr>
            <sz val="11"/>
            <color rgb="FF000000"/>
            <rFont val="Calibri"/>
            <family val="2"/>
          </rPr>
          <t xml:space="preserve">Felipe Jiménez:
Cambiar porcentaje
</t>
        </r>
      </text>
    </comment>
    <comment ref="N218" authorId="0" shapeId="0">
      <text>
        <r>
          <rPr>
            <sz val="11"/>
            <color rgb="FF000000"/>
            <rFont val="Calibri"/>
            <family val="2"/>
          </rPr>
          <t>Felipe Jiménez:
Cambiar porcentaje de la Meta</t>
        </r>
      </text>
    </comment>
    <comment ref="M219" authorId="0" shapeId="0">
      <text>
        <r>
          <rPr>
            <sz val="11"/>
            <color rgb="FF000000"/>
            <rFont val="Calibri"/>
            <family val="2"/>
          </rPr>
          <t>Felipe Jiménez:
NO PUEDE EXISTIR LINEABASE DEL 100%</t>
        </r>
      </text>
    </comment>
    <comment ref="N219" authorId="0" shapeId="0">
      <text>
        <r>
          <rPr>
            <sz val="11"/>
            <color rgb="FF000000"/>
            <rFont val="Calibri"/>
            <family val="2"/>
          </rPr>
          <t>Felipe Jiménez:
Revisar porcentajes</t>
        </r>
      </text>
    </comment>
    <comment ref="U350" authorId="0" shapeId="0">
      <text>
        <r>
          <rPr>
            <sz val="11"/>
            <color rgb="FF000000"/>
            <rFont val="Calibri"/>
            <family val="2"/>
          </rPr>
          <t>USUARIO:
Primer año formulación</t>
        </r>
      </text>
    </comment>
    <comment ref="AM380"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1"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2"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3"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4"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5"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6"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7"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8"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9"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0"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1"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2"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3"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4"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5"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6"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7"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8"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List>
</comments>
</file>

<file path=xl/sharedStrings.xml><?xml version="1.0" encoding="utf-8"?>
<sst xmlns="http://schemas.openxmlformats.org/spreadsheetml/2006/main" count="2125" uniqueCount="1273">
  <si>
    <t>PLAN DE DESARROLLO MUNICIPAL POPAYÁN 2020 - 2023</t>
  </si>
  <si>
    <t>CREO EN POPAYÁN</t>
  </si>
  <si>
    <t>DESAGREGACIÓN META</t>
  </si>
  <si>
    <t>DESAGREGACIÓN PRESUPUESTO</t>
  </si>
  <si>
    <t>DESAGREGACIÓN POR FUENTE</t>
  </si>
  <si>
    <t xml:space="preserve">COMPONENTE </t>
  </si>
  <si>
    <t xml:space="preserve">PROGRAMA </t>
  </si>
  <si>
    <t>LB</t>
  </si>
  <si>
    <t>META
2023</t>
  </si>
  <si>
    <t>PROYECTOS</t>
  </si>
  <si>
    <t>DESCRIPCIÓN DE METAS DE PRODUCTO</t>
  </si>
  <si>
    <t>NOMBRE DE
INDICADOR DE
PRODUCTO</t>
  </si>
  <si>
    <t>META PLAN</t>
  </si>
  <si>
    <t>META
2020</t>
  </si>
  <si>
    <t>META
2021</t>
  </si>
  <si>
    <t>META
2022</t>
  </si>
  <si>
    <t>DEPENDENCIA RESPONSABLE</t>
  </si>
  <si>
    <t>Total
control
1</t>
  </si>
  <si>
    <t>Presupuesto
2020</t>
  </si>
  <si>
    <t>Presupuesto
 2021</t>
  </si>
  <si>
    <t>Presupuesto
2022</t>
  </si>
  <si>
    <t>Presupuesto
2023</t>
  </si>
  <si>
    <t>Presupuesto
 plan</t>
  </si>
  <si>
    <t>VALOR
PROGRAMA</t>
  </si>
  <si>
    <t>PROPIOS</t>
  </si>
  <si>
    <t>PROPIOS
PROGRAMA</t>
  </si>
  <si>
    <t>%</t>
  </si>
  <si>
    <t>S.G.P</t>
  </si>
  <si>
    <t>S.G.P.
PROGRAMA</t>
  </si>
  <si>
    <t>S.G.R</t>
  </si>
  <si>
    <t>S.G.R.
PROGRAMA</t>
  </si>
  <si>
    <t>NACIÓN
transferencias</t>
  </si>
  <si>
    <t>NACIÓN
PROGRAMA</t>
  </si>
  <si>
    <t>OTROS
gestión</t>
  </si>
  <si>
    <t>OTROS
PROGRAMA</t>
  </si>
  <si>
    <t>Desarrollo humano para la equidad, productividad y competitividad</t>
  </si>
  <si>
    <t>Educación</t>
  </si>
  <si>
    <t xml:space="preserve">Calidad educativa para el desarrollo integral </t>
  </si>
  <si>
    <t>Plan educativo municipal acorde al proyecto de ciudades sostenibles formulado e implementado</t>
  </si>
  <si>
    <t>% de implementación</t>
  </si>
  <si>
    <t>Identificado y estructurado el diagnóstico</t>
  </si>
  <si>
    <t>% de avance del diagnóstico</t>
  </si>
  <si>
    <t>100% del Plan Formulado e Implementado</t>
  </si>
  <si>
    <t xml:space="preserve">Seguimiento y acompañamiento pedagógico a la  jornada única implementado  </t>
  </si>
  <si>
    <t>N° de I.E. participantes</t>
  </si>
  <si>
    <t>N° de I.E. en seguimiento</t>
  </si>
  <si>
    <t xml:space="preserve"> Educación inicial en el marco de la atención integral fortalecida</t>
  </si>
  <si>
    <t>Acompañamiento a las instituciones educativas en la articulación de las bases curriculares, referentes técnicos, Políticos y de Gestión de la educación Inicial al proyecto educativo institucional implementado</t>
  </si>
  <si>
    <t>Red de educación inicial y transición del Municipio de Popayán conformada y fortalecida</t>
  </si>
  <si>
    <t>% de la red conformada y fortalecida</t>
  </si>
  <si>
    <t>N° de encuentros realizados</t>
  </si>
  <si>
    <t>Estrategia "Todos Listos" implementada</t>
  </si>
  <si>
    <t>Regulación  y articulación de la prestación del servicio educativo formal y no formal promovida</t>
  </si>
  <si>
    <t>Instituciones de educación media con procesos de articulación con la educación superior y la educación para el trabajo realizados.</t>
  </si>
  <si>
    <t>Proceso de innovación educativa  enfocada la ciencia, la tecnología, la ingeniería y las matemáticas (STEIM) implementado</t>
  </si>
  <si>
    <t>Proyectos de Innovación TIC y sistematización de las experiencias significativas acompañadas</t>
  </si>
  <si>
    <t>N° de proyectos acompañados anualmente</t>
  </si>
  <si>
    <t>Programa Computadores para Educar implementada en I.E.</t>
  </si>
  <si>
    <t>Apropiada la infraestructura de los puntos vive digital de Popayán</t>
  </si>
  <si>
    <t>N° de puntos VD</t>
  </si>
  <si>
    <t>I.E. con acceso a internet</t>
  </si>
  <si>
    <t>Competencias y aprendizajes de las diferentes áreas del conocimiento fortalecidas</t>
  </si>
  <si>
    <t>Apoyados los procesos pedagógicos de enseñanza y aprendizaje para fortalecer las diferentes competencias evaluadas de los colegios oficiales RURALES.</t>
  </si>
  <si>
    <t>Implementada la evaluación formativa como práctica de transformación en el aula.</t>
  </si>
  <si>
    <t>N° I.E. con Diagnostico y apoyo a las estrategias</t>
  </si>
  <si>
    <t>N° de I.E. priorizadas</t>
  </si>
  <si>
    <t>Competencias ciudadanas promovidas a través de los proyectos transversales y cátedras</t>
  </si>
  <si>
    <t xml:space="preserve">% de implementación </t>
  </si>
  <si>
    <t>Formulado e implementado el Plan de Educación Ambiental y Conformación de la REDEPRAE.</t>
  </si>
  <si>
    <t>Foros y/o Eventos realizados</t>
  </si>
  <si>
    <t>N° Eventos realizados</t>
  </si>
  <si>
    <t xml:space="preserve">Plan territorial de formación docente formulado e implementado </t>
  </si>
  <si>
    <t>Cátedra de emprendimiento y la enseñanza de una segunda lengua en las I.E. promovidas para la competitividad</t>
  </si>
  <si>
    <t>Procesos de Emprendimiento a las I.E. promovidos</t>
  </si>
  <si>
    <t>Proceso de enseñanza de una segunda Lengua en las I.E. fortalecido</t>
  </si>
  <si>
    <t xml:space="preserve">Plan de lectura y escritura fortalecido </t>
  </si>
  <si>
    <t>Plan de Lectura con Bibliotecas y otros Centros Culturas fortalecido</t>
  </si>
  <si>
    <t>Promovidas iniciativas  de investigación y experiencias significativas  en las I.E.</t>
  </si>
  <si>
    <t>N° de iniciativas de investigación y experiencias significativas apoyadas</t>
  </si>
  <si>
    <t>Servicio educativo rural de Popayán fortalecido</t>
  </si>
  <si>
    <t>Proyecto educativo rural formulado e implementado</t>
  </si>
  <si>
    <t>N° Planes de acción</t>
  </si>
  <si>
    <t>Fortalecimiento pedagógico de las aulas Multigrado implementado</t>
  </si>
  <si>
    <t>N° de aulas participantes</t>
  </si>
  <si>
    <t xml:space="preserve">Cobertura para el bienestar, acceso y permanencia </t>
  </si>
  <si>
    <t>Infraestructura educativa mantenida</t>
  </si>
  <si>
    <t>N° de I.E. intervenidas</t>
  </si>
  <si>
    <t>Estrategia permanencia escolar fortalecida</t>
  </si>
  <si>
    <t>Nº de estudiantes beneficiados con alimentación escolar</t>
  </si>
  <si>
    <t>Estudiantes beneficiados con auxilio de transporte escolar.</t>
  </si>
  <si>
    <t>Nº de estudiantes beneficiados con Transporte escolar</t>
  </si>
  <si>
    <t>Instituciones Educativas dotadas</t>
  </si>
  <si>
    <t>N° de I.E. dotadas</t>
  </si>
  <si>
    <t>N° de estudiantes atendidos</t>
  </si>
  <si>
    <t>Acciones orientadas a la erradicación del analfabetismo promovidas.</t>
  </si>
  <si>
    <t>Nº de acciones promovidas</t>
  </si>
  <si>
    <t>Estrategia de prevención del riesgo implementada en I.E.</t>
  </si>
  <si>
    <t>No. de I.E. participantes</t>
  </si>
  <si>
    <t xml:space="preserve">Eficiencia administrativa para el mejoramiento de la educación </t>
  </si>
  <si>
    <t>Gestión administrativa y financiera de la secretaria de educación fortalecida</t>
  </si>
  <si>
    <t>Obligaciones laborales de directivos docentes, docentes y administrativos, prestación del servicio educativo y servicios públicos de las instituciones educativas atendidas oportunamente</t>
  </si>
  <si>
    <t>% de ejecución</t>
  </si>
  <si>
    <t>Modelo Integrado de Planeación y Gestión -MiPG implementado</t>
  </si>
  <si>
    <t>Salud</t>
  </si>
  <si>
    <t>TODOS PARTICIPAMOS CUIDANDO NUESTRA SALUD</t>
  </si>
  <si>
    <t xml:space="preserve">
Entornos saludables intervenidos para el empoderamiento y  la promoción de la salud.</t>
  </si>
  <si>
    <t>N°de entornos</t>
  </si>
  <si>
    <t>SLB</t>
  </si>
  <si>
    <t>¡Soy Salud y bienestar! ¡Vivo bien y Saludable con los entornos!</t>
  </si>
  <si>
    <t>Estrategia CERS en su etapa I, II y III implementada</t>
  </si>
  <si>
    <t>Tasa ajustada de mortalidad por enfermedad isquémica del corazón reducida</t>
  </si>
  <si>
    <t>Tasa</t>
  </si>
  <si>
    <t>Te tengo controlada</t>
  </si>
  <si>
    <t>Estrategia 4 x 4 ampliada e implementada en el Municipio de Popayán</t>
  </si>
  <si>
    <t xml:space="preserve">Número de entornos intervenidos </t>
  </si>
  <si>
    <t>Tasa ajustada de mortalidad por enfermedad cerebrovascular mantenida</t>
  </si>
  <si>
    <t xml:space="preserve">Estrategia de información y educación de autocuidado y cuidado en los estilos de vida saludable en zona urbana y rural del Municipio de Popayán.
</t>
  </si>
  <si>
    <t>Tasa de mortalidad por cáncer de próstata mantenida</t>
  </si>
  <si>
    <t>Tasa de mortalidad por cáncer gástrico reducida</t>
  </si>
  <si>
    <t>Índice de COP reducido</t>
  </si>
  <si>
    <t>2.7</t>
  </si>
  <si>
    <t>Tasa de mortalidad por enfermedad renal crónica contenida</t>
  </si>
  <si>
    <t xml:space="preserve">Estrategia restaurantes saludables implementada en el municipio de Popayán </t>
  </si>
  <si>
    <t>Tasa de mortalidad por suicidio mantenida</t>
  </si>
  <si>
    <t>Estrategias de habilidades para la vida implementada en el municipio de Popayán en porcentaje óptimo</t>
  </si>
  <si>
    <t>Incidencia de la violencia intrafamiliar mantenida</t>
  </si>
  <si>
    <t>Estrategia de comunicación, educación e información para la salud mental implementada en diversos escenarios de Popayán en porcentaje óptimo</t>
  </si>
  <si>
    <t>Consumo de sustancias psicoactivas en población escolar y universitaria contenido</t>
  </si>
  <si>
    <t>% de consumidores</t>
  </si>
  <si>
    <t>Tasa de mortalidad por desnutrición en menores de 5 años contenida</t>
  </si>
  <si>
    <t>Barriguitas llenas, corazones contentos</t>
  </si>
  <si>
    <t>Proporción de bajo peso al nacer disminuido</t>
  </si>
  <si>
    <t>Proporción</t>
  </si>
  <si>
    <t>Brotes de ETAs contenidos en el Municipio de Popayán</t>
  </si>
  <si>
    <t>N° de brotes</t>
  </si>
  <si>
    <t>Visitas de inspección, vigilancia y control a establecimientos con actividades de transporte, almacenamiento, preparación y de expendio de alimentos y bebidas alcohólicas realizadas</t>
  </si>
  <si>
    <t>Razón de Mortalidad Materna contenida</t>
  </si>
  <si>
    <t>Razón</t>
  </si>
  <si>
    <t>Mi Sexualidad, Mi Responsabilidad.</t>
  </si>
  <si>
    <t>Incidencia de sífilis congénita disminuida</t>
  </si>
  <si>
    <t>Tasa especifica de fecundidad en mujeres de 15 a 19 años disminuida</t>
  </si>
  <si>
    <t xml:space="preserve">Estrategias implementadas para prevención de embarazos en adolescentes en el Municipio de Popayán       </t>
  </si>
  <si>
    <t>Tasa de mortalidad por VIH contenida</t>
  </si>
  <si>
    <t xml:space="preserve">Estrategias de tamización con pruebas rápidas de VIH implementadas en población clave a través de todo el curso de vida en el municipio de Popayán.         </t>
  </si>
  <si>
    <t>Tasa de mortalidad por cáncer de mama contenida</t>
  </si>
  <si>
    <t xml:space="preserve">Estrategias de información en Salud,  de educación y comunicación implementadas  para la detección temprana del cáncer de Cuello uterino y de mama en el municipio de Popayán              </t>
  </si>
  <si>
    <t>Tasa de mortalidad x cáncer de cuello uterino contenida</t>
  </si>
  <si>
    <t>Tasa de violencia contra la mujer contenida</t>
  </si>
  <si>
    <t>Tasa de mortalidad por Tuberculosis contenida</t>
  </si>
  <si>
    <t>Transmite solo lo bueno</t>
  </si>
  <si>
    <t xml:space="preserve">Redes sociales y comunitarias para la atención integral de enfermedades transmisibles (Tuberculosis, lepra, enfermedades emergentes incluida el COVID-19, re-emergentes y desatendidas) conformadas en las áreas urbana y rural de Popayán </t>
  </si>
  <si>
    <t xml:space="preserve">Pruebas de tamización para Tuberculosis implementadas en población vulnerable </t>
  </si>
  <si>
    <t>Tasa de Mortalidad por EDA en menores de 5 años contenida</t>
  </si>
  <si>
    <t>Tasa de mortalidad por ETV contenida en 0 muertes x 100000 habitantes.</t>
  </si>
  <si>
    <t>Tasa de   mortalidad por rabia contenida en Cero muertes x 100000 habitantes</t>
  </si>
  <si>
    <t>Estrategias de vacunación canina y felina realizadas</t>
  </si>
  <si>
    <t>Cobertura de vacunación en menores de 6 años mantenida</t>
  </si>
  <si>
    <t>% de cobertura</t>
  </si>
  <si>
    <t>Estrategia para la promoción de vacunación implementada para la población prioritaria menor de 6 años, gestantes y adultos mayores</t>
  </si>
  <si>
    <t>Estrategias de Vacunación para la prevención de las enfermedades inmunoprevenibles implementadas</t>
  </si>
  <si>
    <t>N° de Estrategias implementadas</t>
  </si>
  <si>
    <t>N° de bancos de sangre fortalecidos</t>
  </si>
  <si>
    <t>Siempre listos</t>
  </si>
  <si>
    <t>Estrategia para el incremento de campañas de donación de sangre.</t>
  </si>
  <si>
    <t>N° de hospitales y entidades de salud articuladas</t>
  </si>
  <si>
    <t>Simulacros de emergencias y desastres en la red hospitalaria de Popayán.</t>
  </si>
  <si>
    <t>Tasa de mortalidad por accidentes de trabajo contenida</t>
  </si>
  <si>
    <t>Por mi trabajo saludable</t>
  </si>
  <si>
    <t>Estrategia educativa y comunicativa para la prevención de enfermedad laboral y accidentes de trabajo dirigida a la población formal trabajadora,  implementada en el municipio de Popayán</t>
  </si>
  <si>
    <t>N° Estrategias por ARL´s priorizadas</t>
  </si>
  <si>
    <t>Tasa de mortalidad por enfermedad profesional contenida</t>
  </si>
  <si>
    <t>Población informal trabajadora sensibilizada en cuanto a salud en el trabajo</t>
  </si>
  <si>
    <t>% de población incluida</t>
  </si>
  <si>
    <t>Trabajadores informales del municipio de Popayán caracterizados</t>
  </si>
  <si>
    <t>Tasa de mortalidad infantil en menores de 1 año *1000 nacidos vivos contenida</t>
  </si>
  <si>
    <t>Porque yo cuento</t>
  </si>
  <si>
    <t xml:space="preserve">Implementar estrategia de seguimiento a los resultados en salud de niños, niñas y adolescentes. </t>
  </si>
  <si>
    <t>Tasa de mortalidad en menores de 5 años *1000 NV contenida</t>
  </si>
  <si>
    <t>Personas con discapacidad en procesos de inclusión</t>
  </si>
  <si>
    <t xml:space="preserve">% de RLCPD Popayán </t>
  </si>
  <si>
    <t>Población con discapacidad de comunas y/o veredas priorizadas, con la Estrategia RBC implementada.</t>
  </si>
  <si>
    <t>Adultos Mayores atendidos integralmente con enfoque familiar y comunitario</t>
  </si>
  <si>
    <t>Estrategias de información, educación y comunicación para la implementación de la ruta de promoción y mantenimiento de la salud en el curso de vida del adulto mayor en grado óptimo</t>
  </si>
  <si>
    <t>Habitantes de calle caracterizados en el municipio de Popayán</t>
  </si>
  <si>
    <t>Víctimas del conflicto armado atendidas en EAPB e IPS con enfoque diferencial</t>
  </si>
  <si>
    <t>% del RUV Popayán</t>
  </si>
  <si>
    <t>Estrategia de disminución de barreras para el acceso a los servicios de salud (enfoque diferencial a víctimas)</t>
  </si>
  <si>
    <t>Población migrante vulnerable caracterizada en el municipio</t>
  </si>
  <si>
    <t>Estrategia de orientación y canalización a población migrante vulnerable implementada con enfoque diferencial</t>
  </si>
  <si>
    <t>Fortalecimiento de la autoridad sanitaria municipal</t>
  </si>
  <si>
    <t>Plan territorial de salud 2020-2023 elaborado, aprobado y cargado a la plataforma de gestión del PDSP y con indicadores de ejecución en rango óptimo</t>
  </si>
  <si>
    <t>Sistema de VEISP operando en rango óptimo</t>
  </si>
  <si>
    <t>ASIS realizado y actualizado anualmente</t>
  </si>
  <si>
    <t>N°</t>
  </si>
  <si>
    <t>IPS públicas y EAPB del municipio de Popayán con servicio de asistencia técnica realizadas en rango óptimo anualmente</t>
  </si>
  <si>
    <t>Intervenciones colectivas conforme las disposiciones que sobre la materia están definidas en las Resoluciones 518 de 2015 y 3280 de 2018 contratadas y ejecutadas en rango óptimo en el municipio</t>
  </si>
  <si>
    <t>Sistema de información en salud implementado y soportado en un programa de interoperabilidad</t>
  </si>
  <si>
    <t>Vigilancia, inspección y control para la  prevención y disminución de riesgos ambientales garantizada en los establecimientos de interés en salud pública de Popayán</t>
  </si>
  <si>
    <t>Establecimientos cubiertos con Modelo de inspección, vigilancia y control  de la norma sanitaria y ambiental con enfoque de riesgo, implementado en el municipio de Popayán.</t>
  </si>
  <si>
    <t>LA  ATENCIÓN INTEGRAL EN SALUD, UN DERECHO</t>
  </si>
  <si>
    <t xml:space="preserve">Articulación del sector salud municipal fortalecida
</t>
  </si>
  <si>
    <t>N° de entidades participando</t>
  </si>
  <si>
    <t>Primero mi salud</t>
  </si>
  <si>
    <t xml:space="preserve">% </t>
  </si>
  <si>
    <t xml:space="preserve">99.41% </t>
  </si>
  <si>
    <t>Plan de afiliación en articulación con el sector salud y comunidad para garantizar la afiliación al 100% implementado</t>
  </si>
  <si>
    <t>Popayán activa, deportiva y recreativa</t>
  </si>
  <si>
    <t>Popayán deportiva</t>
  </si>
  <si>
    <t>Población realizando practica deportiva</t>
  </si>
  <si>
    <t xml:space="preserve">Formando talentos </t>
  </si>
  <si>
    <t>Talento payanes</t>
  </si>
  <si>
    <t>Nº de participantes</t>
  </si>
  <si>
    <t>Vive Popayán deportiva</t>
  </si>
  <si>
    <t>Eventos deportivos con enfoque diferencial realizados</t>
  </si>
  <si>
    <t>Nº de eventos realizados</t>
  </si>
  <si>
    <t>Cultura deportiva, paz y convivencia</t>
  </si>
  <si>
    <t>Nº de campañas implementadas</t>
  </si>
  <si>
    <t xml:space="preserve">Deporte sin limites </t>
  </si>
  <si>
    <t>Grupos funcionando con actividades deportiva para personas con discapacidad</t>
  </si>
  <si>
    <t>Administración, uso y fortalecimiento de escenarios deportivos y recreativos</t>
  </si>
  <si>
    <t>Popayán activo y saludable</t>
  </si>
  <si>
    <t>% de personas participando en programas de actividad física</t>
  </si>
  <si>
    <t>Popayán se mueve</t>
  </si>
  <si>
    <t>Estrategia integral de hábitos y estilos de vida saludable con enfoque diferencial implementada</t>
  </si>
  <si>
    <t>Popayán cultural y artística</t>
  </si>
  <si>
    <t>Popayán lee</t>
  </si>
  <si>
    <t>Estrategia de fortalecimiento de la cultura y las artes</t>
  </si>
  <si>
    <t>N° de programas creados</t>
  </si>
  <si>
    <t>% de Implementación</t>
  </si>
  <si>
    <t>Vive Popayán</t>
  </si>
  <si>
    <t>Intercambios culturales con enfoque diferencial realizados con otras ciudades y el mundo</t>
  </si>
  <si>
    <t>Eventos culturales y artísticos con enfoque diferencial apoyados</t>
  </si>
  <si>
    <t>Estrategias del sistema municipal de cultura fortalecidas</t>
  </si>
  <si>
    <t>Popayán más futuro</t>
  </si>
  <si>
    <t xml:space="preserve">Nº de bienes y/o manifestaciones intervenidos y/o protegidos </t>
  </si>
  <si>
    <t>Adecuación y mantenimiento de escenarios culturales y artísticos</t>
  </si>
  <si>
    <t>Escenarios culturales fortalecidos</t>
  </si>
  <si>
    <t>Inclusión social</t>
  </si>
  <si>
    <t>Reducción de la tasa de trabajo infantil</t>
  </si>
  <si>
    <t>1,8</t>
  </si>
  <si>
    <t>1,7</t>
  </si>
  <si>
    <t>Estrategia de prevención y reducción del trabajo infantil alineada a la política nacional de erradicación del trabajo infantil implementada.</t>
  </si>
  <si>
    <t>Nº de acciones de fortalecimiento</t>
  </si>
  <si>
    <t xml:space="preserve">Garantizadas las condiciones y capacidades de la infancia y la adolescencia en escenarios de participación, deliberación, decisión y control social </t>
  </si>
  <si>
    <t>Popayán mas  joven</t>
  </si>
  <si>
    <t>Popayán joven</t>
  </si>
  <si>
    <t>Nº de beneficiarios</t>
  </si>
  <si>
    <t>Orientaciones Sexuales e Identidades de Género Diversas LGBTI y otros</t>
  </si>
  <si>
    <t>Popayán Diverso</t>
  </si>
  <si>
    <t>Programa Asuntos Étnicos  y campesinos de Popayán</t>
  </si>
  <si>
    <t xml:space="preserve">Estrategia para la atención integral de los asuntos étnicos y campesinos en Popayán  </t>
  </si>
  <si>
    <t>Popayán Solidaria</t>
  </si>
  <si>
    <t>Nº de personas atendidas</t>
  </si>
  <si>
    <t>Discapacidad</t>
  </si>
  <si>
    <t>Estrategia de atención integral para las personas con discapacidad</t>
  </si>
  <si>
    <t>Atención integral al adulto mayor</t>
  </si>
  <si>
    <t>Envejecimiento Saludable</t>
  </si>
  <si>
    <t>Centros de bienestar habilitados y fortalecidos</t>
  </si>
  <si>
    <t>Agua Potable y saneamiento básico</t>
  </si>
  <si>
    <t>&gt;= 98,36%</t>
  </si>
  <si>
    <t>Estudios y diseños para la ampliación de la PTAP Palacé a 1000 Lps realizados</t>
  </si>
  <si>
    <t>Reclamaciones comerciales del servicio de Acueducto y/o Alcantarillado por facturación resueltas a favor del suscriptor en segunda instancia por cada 1.000</t>
  </si>
  <si>
    <t>Nº</t>
  </si>
  <si>
    <t>&lt; 4</t>
  </si>
  <si>
    <t>&lt;= 4</t>
  </si>
  <si>
    <t>Capacidad de producción ampliada mediante la optimización de la Planta PTAP Palacé</t>
  </si>
  <si>
    <t>Litros por segundo</t>
  </si>
  <si>
    <t>250 lps</t>
  </si>
  <si>
    <t>&gt;=94%</t>
  </si>
  <si>
    <t>Vertimientos de aguas residuales domesticas
reducidos</t>
  </si>
  <si>
    <t>Índice de Riesgo de la calidad de agua para el consumo humano IRCA disminuido</t>
  </si>
  <si>
    <t>IRCA</t>
  </si>
  <si>
    <t>0,56</t>
  </si>
  <si>
    <t>&lt;=5</t>
  </si>
  <si>
    <t>% de ejecucución</t>
  </si>
  <si>
    <t>Legalización predial de lote para construcción ejecutada</t>
  </si>
  <si>
    <t>Permisos ambientales gestionados</t>
  </si>
  <si>
    <t>Procesos de contratación realizados</t>
  </si>
  <si>
    <t>Nuevas Unidades de negocio abiertas por el AAPSA</t>
  </si>
  <si>
    <t>Nº de nuevos negocios</t>
  </si>
  <si>
    <t xml:space="preserve">Planta envasadora de agua en operación </t>
  </si>
  <si>
    <t>Laboratorio para análisis de Calidad de Agua Acreditado</t>
  </si>
  <si>
    <t>Vivienda y habitat</t>
  </si>
  <si>
    <t>Vivienda nueva urbana y rural</t>
  </si>
  <si>
    <t>Déficit cuantitativo de vivienda reducido</t>
  </si>
  <si>
    <t>Déficit</t>
  </si>
  <si>
    <t>Nº DE familias con acceso</t>
  </si>
  <si>
    <t>Promoción de Proyectos de vivienda  nueva de iniciativa privada en suelos de incorporcion o expansión o planes parciales .</t>
  </si>
  <si>
    <t>Proyectos de vivienda gestionados</t>
  </si>
  <si>
    <t>Reactivación del Fondo de Vivienda municipal</t>
  </si>
  <si>
    <t>Reubicación</t>
  </si>
  <si>
    <t>Subsidios asignados</t>
  </si>
  <si>
    <t>Mejoramiento de vivienda urbana y rural</t>
  </si>
  <si>
    <t>Déficit cualitativo de vivienda reducido</t>
  </si>
  <si>
    <t>Proyectos gestionados y/o construidos</t>
  </si>
  <si>
    <t>Construcción de 400 unidades sanitaras con sistema de tratamiento para vivienda rural dispersa, cercanas a fuentes hidricas.</t>
  </si>
  <si>
    <t xml:space="preserve">Reasentamientos </t>
  </si>
  <si>
    <t>Asentamientos legalizados</t>
  </si>
  <si>
    <t>Seguimiento a proyectos de vivienda urbana y rural subsidiada</t>
  </si>
  <si>
    <t xml:space="preserve">Seguimiento a subsidios de vivienda </t>
  </si>
  <si>
    <t xml:space="preserve">Nº DE familias </t>
  </si>
  <si>
    <t>Titulación, legalización y formalización de tierras urbana y rural</t>
  </si>
  <si>
    <t>Ttítulos para vivienda de interés social incrementados</t>
  </si>
  <si>
    <t>No. de títulos</t>
  </si>
  <si>
    <t>Titulación en predios fiscales</t>
  </si>
  <si>
    <t>Predios titulados</t>
  </si>
  <si>
    <t>Proyectos elaborados</t>
  </si>
  <si>
    <t xml:space="preserve">Formalización de la propiedad rural con énfasis en mujer </t>
  </si>
  <si>
    <t>Apoyos gestionados</t>
  </si>
  <si>
    <t>No.</t>
  </si>
  <si>
    <t>Recuperación y control de legalidad</t>
  </si>
  <si>
    <t>Recuperacion espacios públicos y/o normalizacion y/o  legalización de urbanismos que cumplan con los requisitos legales, tecnicos y urbanisticos.</t>
  </si>
  <si>
    <t>Recuperación de espacios públicos y zonas no urbanizables</t>
  </si>
  <si>
    <t>m2</t>
  </si>
  <si>
    <t>Mujer</t>
  </si>
  <si>
    <t>Prevención de violencias basadas en género y territorios seguros para mujeres y niñas</t>
  </si>
  <si>
    <t>Secretaria de la mujer</t>
  </si>
  <si>
    <t>Disminuir la tasa  de violencia intrafamiliar hacia las mujeres</t>
  </si>
  <si>
    <t>Tasa de violencia intrafamiliar hacia las mujeres</t>
  </si>
  <si>
    <t xml:space="preserve"> 639,43 x cada 100.000 habitantes     (INML Promedio tasa 2017-2018)          
</t>
  </si>
  <si>
    <t>Transversalización del enfoque de género, empoderamiento y autonomía  económica de las mujeres</t>
  </si>
  <si>
    <t>36%                          (Registraduría  2016-2019-2020-2023)</t>
  </si>
  <si>
    <t>Promoción de los derechos de las mujeres, las jóvenes y las niñas</t>
  </si>
  <si>
    <t>Nº de mujeres participantes</t>
  </si>
  <si>
    <t>N.º  de estrategias desarrolladas para la institucionalización del enfoque de género.</t>
  </si>
  <si>
    <t>SLB (el año 1 es decir el 2020 se toma como base)</t>
  </si>
  <si>
    <t>Estrategia de atención integral a mujeres y niñas</t>
  </si>
  <si>
    <t>Gestión integral con perspectiva de género</t>
  </si>
  <si>
    <t>% mínimo de mujeres contratadas del total de personas contratadas</t>
  </si>
  <si>
    <t xml:space="preserve">N.º de mujeres participantes en procesos de fortalecimiento de la autonomía económica  </t>
  </si>
  <si>
    <t>Autonomía y empoderamiento económico de las mujeres</t>
  </si>
  <si>
    <t>Derechos humanos y construcción de paz</t>
  </si>
  <si>
    <t>Promoción de los derechos humanos y construcción de paz territorial</t>
  </si>
  <si>
    <t>Nº de Rutas</t>
  </si>
  <si>
    <t>Nº de acciones implementadas</t>
  </si>
  <si>
    <t>Popayán capital de Paz</t>
  </si>
  <si>
    <t>Estrategia institucional y ciudadana de promoción de Paz, reconocimiento y respeto por los derechos humanos implementada</t>
  </si>
  <si>
    <t>Estrategia institucional para atención a población victima de conflicto armado</t>
  </si>
  <si>
    <t>Atendidas las medidas de reparación individual y colectiva que involucren al municipio</t>
  </si>
  <si>
    <t>Gobierno, seguridad y convivencia ciudadana</t>
  </si>
  <si>
    <t>Seguridad y convivencia ciudadana</t>
  </si>
  <si>
    <t>Popayán territorio seguro</t>
  </si>
  <si>
    <t>Popayán por el espacio Público</t>
  </si>
  <si>
    <t xml:space="preserve">Justicia </t>
  </si>
  <si>
    <t>Justicia para Popayán</t>
  </si>
  <si>
    <t>Puntos de acceso a la justicia fortalecidos</t>
  </si>
  <si>
    <t>Fortalecimiento a la democracia, la participación comunitaria y la acción comunal</t>
  </si>
  <si>
    <t>% de formulación</t>
  </si>
  <si>
    <t>Creación y puesta en marcha del consejo municipal de participación y sistema de participación ciudadana</t>
  </si>
  <si>
    <t>Creación y puesta en marcha del comité de seguimiento y evaluación del presupuesto participativo</t>
  </si>
  <si>
    <t>Fortalecimiento al ejercicio de la libertad religiosa y de culto</t>
  </si>
  <si>
    <t xml:space="preserve">Desarrollo de la infraestructura vial y de servicios </t>
  </si>
  <si>
    <t>Valorización Popayán</t>
  </si>
  <si>
    <t>Valorización implementada</t>
  </si>
  <si>
    <t>N° de Proyectos financiados con valorización</t>
  </si>
  <si>
    <t>Actualización del censo predial</t>
  </si>
  <si>
    <t>Actualizados los predios en el censo</t>
  </si>
  <si>
    <t>Reestructuración de valorización</t>
  </si>
  <si>
    <t>Gestión predial</t>
  </si>
  <si>
    <t>Gestión predial municipal Fortalecida</t>
  </si>
  <si>
    <t>Nº de predios particulares gestionados</t>
  </si>
  <si>
    <t>Adquisición predial de obras ya contratadas.</t>
  </si>
  <si>
    <t>Caracterización financiera y social de nuevos predios</t>
  </si>
  <si>
    <t>Construcción y/o mantenimiento de vías urbanas</t>
  </si>
  <si>
    <t>Malla vial mantenida</t>
  </si>
  <si>
    <t>Andenes construidos</t>
  </si>
  <si>
    <t>Puentes mantenidos</t>
  </si>
  <si>
    <t>Vías construidas y/o mejoradas urbanas</t>
  </si>
  <si>
    <t>Km</t>
  </si>
  <si>
    <t>Construcción y mantenimiento de vías rurales</t>
  </si>
  <si>
    <t xml:space="preserve">Vías construidas y/o mejoradas </t>
  </si>
  <si>
    <t>Km de vias construidas y/o mejoradas</t>
  </si>
  <si>
    <t>Construcción de placa huella</t>
  </si>
  <si>
    <t>Vías construidas y/o mejoradas rurales</t>
  </si>
  <si>
    <t>Mantenimiento de vías terciarias con maquinaria de propiedad del municipio</t>
  </si>
  <si>
    <t>Aseo domiciliario</t>
  </si>
  <si>
    <t>% de satisfacción</t>
  </si>
  <si>
    <t>Vigilancia a la prestación del servicio de aseo</t>
  </si>
  <si>
    <t>Plan de vigilancia del servicio de aseo implementado</t>
  </si>
  <si>
    <t>Matadero</t>
  </si>
  <si>
    <t>Cumplida la normatividad para el funcionamiento del matadero municipal (INVIMA)</t>
  </si>
  <si>
    <t>% de cumplimiento Bovinos</t>
  </si>
  <si>
    <t>Plan de obras para planta de bovinos implementado</t>
  </si>
  <si>
    <t>% de cumplimiento porcinos</t>
  </si>
  <si>
    <t>Plan de obras para planta de porcinos implementado</t>
  </si>
  <si>
    <t>Espacios saludables y lúdicos</t>
  </si>
  <si>
    <t>Espacios saludables y lúdicos construidos</t>
  </si>
  <si>
    <t>Nº de espacios construidos</t>
  </si>
  <si>
    <t>Construcción del ecoparque el ojito</t>
  </si>
  <si>
    <t>Ecoparque construido</t>
  </si>
  <si>
    <t>% de ejecución de obra</t>
  </si>
  <si>
    <t>Usuarios con servicio de AA subsidiado (estratos 1,2,3)</t>
  </si>
  <si>
    <t>% de población
 focalizada</t>
  </si>
  <si>
    <t>Transferencia de subsidios de servicios públicos</t>
  </si>
  <si>
    <t>Cobertura de energía electrica a sectores priorizados ampliada</t>
  </si>
  <si>
    <t>N° de usuarios</t>
  </si>
  <si>
    <t>Redes de energía eléctrica ampliadas</t>
  </si>
  <si>
    <t>Servicio de alumbrado público optimizado</t>
  </si>
  <si>
    <t>N° de dispositivos
de iluminación</t>
  </si>
  <si>
    <t>Expansión , mantenimiento y reposición  de  luminarias</t>
  </si>
  <si>
    <t>Mejorado el servicio de alumbrado público</t>
  </si>
  <si>
    <t>Gestión adecuada de propiedades e inmuebles del municipio de Popayán</t>
  </si>
  <si>
    <t>Infraestructura estratégica</t>
  </si>
  <si>
    <t>Ejecutados los proyectos estratégicos CREO EN POPAYÁN</t>
  </si>
  <si>
    <t>Nº de proyectos ejecutados</t>
  </si>
  <si>
    <t>Mejoramiento integral de barrios</t>
  </si>
  <si>
    <t>Tránsito</t>
  </si>
  <si>
    <t>Lesiones por accidentes de tránsito disminuidas</t>
  </si>
  <si>
    <t>Tasa de mortalidad por accidentes de transito
reducida</t>
  </si>
  <si>
    <t>Movilidad</t>
  </si>
  <si>
    <t>Transporte urbano</t>
  </si>
  <si>
    <t>Servicio de transporte  implementado bajo los principios de eficiencia, seguridad, equidad, competitividad y sostenibilidad ambiental</t>
  </si>
  <si>
    <t>Plan estratégico de movilidad futura 2020- 2023</t>
  </si>
  <si>
    <t xml:space="preserve">Implementación de la Operación del SETP </t>
  </si>
  <si>
    <t>Adecuación de Infraestructura que garantice la inclusión y acceso de transporte no motorizado al sistema de transporte urbano</t>
  </si>
  <si>
    <t xml:space="preserve">Kms de infraestructura para no motorizados construida </t>
  </si>
  <si>
    <t>Infraestructura urbana construida y adecuada para la operación del SETP garantizando el acceso al Sistema de personas con Movilidad Reducida</t>
  </si>
  <si>
    <t>Kms de infraestructura construida</t>
  </si>
  <si>
    <t>Plan de fortalecimiento de la gestión integral de Movilidad Futura Implementado</t>
  </si>
  <si>
    <t>UPAs que mejoran sus capacidades productivas y empresariales</t>
  </si>
  <si>
    <t>Popayán con más productividad rural</t>
  </si>
  <si>
    <t>Nº de UPAs incluidas</t>
  </si>
  <si>
    <t>Nº de alianzas promovidas</t>
  </si>
  <si>
    <t>Nº de cadenas productivas fortalecidas</t>
  </si>
  <si>
    <t>Experiencias días de campo implementadas</t>
  </si>
  <si>
    <t>Nº de cadenas productivas
que  participan</t>
  </si>
  <si>
    <t>Seguridad y soberanía alimentaria</t>
  </si>
  <si>
    <t>Popayán consume lo propio</t>
  </si>
  <si>
    <t>Fortalecimiento de la seguridad alimentaria y promoción del consumo local. Popayán consume lo propio.</t>
  </si>
  <si>
    <t>Empleo</t>
  </si>
  <si>
    <t>Fomento de la estrategia activa de empleo en el municipio de Popayán</t>
  </si>
  <si>
    <t>Personas apoyadas para el ingreso al mercado del trabajo</t>
  </si>
  <si>
    <t>Creación y puesta en marcha del observatorio de empleabilidad de Popayán</t>
  </si>
  <si>
    <t>Información del mercado laboral creada y consolidada</t>
  </si>
  <si>
    <t>Instituciones aliadas al observatorio</t>
  </si>
  <si>
    <t>Estrategias de difusión de la información del mercado laboral implementadas</t>
  </si>
  <si>
    <t>Emprendimiento</t>
  </si>
  <si>
    <t>Popayán emprende</t>
  </si>
  <si>
    <t>Emprendimientos creados, acompañados y fortalecidos en las áreas rural y urbana de Popayán.</t>
  </si>
  <si>
    <t>Colectivo de jóvenes líderes creado</t>
  </si>
  <si>
    <t>Nº de iniciativas apoyadas</t>
  </si>
  <si>
    <t>TICs</t>
  </si>
  <si>
    <t>Popayán innovadora</t>
  </si>
  <si>
    <t>Promovida una cultura de ciencia, tecnología e innovación en Popayán</t>
  </si>
  <si>
    <t>Nº de personas que desarrollan actividades de ciencia, tecnología e innovación</t>
  </si>
  <si>
    <t>Espacios de CTeI creados con I.E. del municipio</t>
  </si>
  <si>
    <t>Nivel de implementación del plan estratégico de tecnología de la información y las comunicaciones (PETIC)</t>
  </si>
  <si>
    <t>Turismo</t>
  </si>
  <si>
    <t>Popayán potencia turística</t>
  </si>
  <si>
    <t>Sector turístico del municipio fortalecido</t>
  </si>
  <si>
    <t>Nº de visitantes por año</t>
  </si>
  <si>
    <t>Fortalecimiento integral del sector turístico de Popayán</t>
  </si>
  <si>
    <t>Inventario turístico del municipio de Popayán(MINCIT) realizado</t>
  </si>
  <si>
    <t>Nº de servicios caracterizados</t>
  </si>
  <si>
    <t>Plan de seguimiento y fortalecimiento de la oferta turística  implementado</t>
  </si>
  <si>
    <t>Política pública de turismo formulada</t>
  </si>
  <si>
    <t>Gestión
del riesgo</t>
  </si>
  <si>
    <t>Conocimiento y comunicación del riesgo</t>
  </si>
  <si>
    <t>Conocimiento</t>
  </si>
  <si>
    <t>% de avance de estudios</t>
  </si>
  <si>
    <t>Reducción y mitigación del riesgo</t>
  </si>
  <si>
    <t xml:space="preserve">Reduccion </t>
  </si>
  <si>
    <t xml:space="preserve">Nº de Planes </t>
  </si>
  <si>
    <t xml:space="preserve">No de polizas </t>
  </si>
  <si>
    <t>Manejo eficaz de desastres</t>
  </si>
  <si>
    <t xml:space="preserve"> Respuesta </t>
  </si>
  <si>
    <t xml:space="preserve">Nº de procesos </t>
  </si>
  <si>
    <t>No Instrumentos</t>
  </si>
  <si>
    <t>Gestión ambiental integral</t>
  </si>
  <si>
    <t>% de cumplimiento</t>
  </si>
  <si>
    <t>Plan de manejo ambiental</t>
  </si>
  <si>
    <t>Ton</t>
  </si>
  <si>
    <t xml:space="preserve">Adquisición y Mantenimiento de Áreas de Interés Ambiental </t>
  </si>
  <si>
    <t>Hectáreas adquiridas en AIA</t>
  </si>
  <si>
    <t>Árboles sembrados en zona urbana</t>
  </si>
  <si>
    <t>Plan operativo estratégico de sostenibilidad ambiental, elaborado e implementado. (En el marco del acuerdo de voluntades).</t>
  </si>
  <si>
    <t>Conservación y gestión integral de la biodiversidad y sus servicios ecosistémicos</t>
  </si>
  <si>
    <t>Recurso hídrico conservado en cuatro fuentes de abastecimiento  (restauración pasiva)</t>
  </si>
  <si>
    <t>Hectáreas</t>
  </si>
  <si>
    <t>Conservación y gestión integral de fuentes hídricas en Popayán AAPSA</t>
  </si>
  <si>
    <t>Plan de conservación del recurso hídrico implementado</t>
  </si>
  <si>
    <t>Formulación e implementación de una estrategia de adaptación al cambio climático</t>
  </si>
  <si>
    <t>Estrategia de adaptación y mitigación al cambio climático implementada</t>
  </si>
  <si>
    <t>Planificación 
Territorial</t>
  </si>
  <si>
    <t xml:space="preserve">Sistemas de información para la planificación estratégica territorial </t>
  </si>
  <si>
    <t>% de personas encuestadas</t>
  </si>
  <si>
    <t>Fortalecimiento integral del SISBEN</t>
  </si>
  <si>
    <t xml:space="preserve">Actualización y fortalecimiento del proceso de estratificación municipal </t>
  </si>
  <si>
    <t>Implementado el SIG Popayán</t>
  </si>
  <si>
    <t xml:space="preserve"> Implementación del sistema de información geográfico municipal</t>
  </si>
  <si>
    <t>Un sistema de información geográfico en funcionamiento</t>
  </si>
  <si>
    <t>Planificación territorial participativa</t>
  </si>
  <si>
    <t>Fortalecida la capacidad de planificación, financiación y la gestión participativa, integrada y sostenible del territorio</t>
  </si>
  <si>
    <t>Implementado el PDM 2020 - 2023</t>
  </si>
  <si>
    <t xml:space="preserve">Plan de ordenamiento territorial </t>
  </si>
  <si>
    <t>Gestión integral del POT (revisión, ajuste implementación y ejecución)</t>
  </si>
  <si>
    <t>POT implementado</t>
  </si>
  <si>
    <t xml:space="preserve">Gestión urbanística territorial </t>
  </si>
  <si>
    <t>Estrategia para el fortalecimiento del control urbanístico formulada e implementada</t>
  </si>
  <si>
    <t>Regularización de asentamientos humanos</t>
  </si>
  <si>
    <t xml:space="preserve">Desarrollo de instrumentos de gestión del suelo </t>
  </si>
  <si>
    <t>Nº de instrumentos</t>
  </si>
  <si>
    <t>Ente gestor para el desarrollo y renovación territorial creado</t>
  </si>
  <si>
    <t xml:space="preserve">Dinamización del patrimonio histórico y cultural del municipio </t>
  </si>
  <si>
    <t>Gestión integral del PEMP (revisión, ajuste, implementación y ejecución)</t>
  </si>
  <si>
    <t>Conformación del ente gestor del patrimonio histórico y cultural del municipio</t>
  </si>
  <si>
    <t xml:space="preserve">Ente gestor creado </t>
  </si>
  <si>
    <t>Ente gestor implementado</t>
  </si>
  <si>
    <t>Fortalecimiento estratégico para la articulación del desarrollo municipal - regional</t>
  </si>
  <si>
    <t>Alianzas sectoriales constituidas</t>
  </si>
  <si>
    <t>Administraciones municipales participando</t>
  </si>
  <si>
    <t>Alcaldía de Popayán moderna,  eficiente y eficaz</t>
  </si>
  <si>
    <t>Gestión moderna y eficiente</t>
  </si>
  <si>
    <t xml:space="preserve">Fortalecimiento de la gestión  administrativa del Municipio de Popayán </t>
  </si>
  <si>
    <t>58,4% año 2018</t>
  </si>
  <si>
    <t>Ajuste de la estructura organizacional de las unidades administrativas del municipio.</t>
  </si>
  <si>
    <t>% implementación</t>
  </si>
  <si>
    <t>Secretaria General  Secretaría de Planeación</t>
  </si>
  <si>
    <t>Secretaria General -– Secretaría de Planeación</t>
  </si>
  <si>
    <t>Implementar un sistema integrado de gestión para la operación de entidad</t>
  </si>
  <si>
    <t>Secretaria General – Secretaría de Planeación</t>
  </si>
  <si>
    <t>Funcionamiento eficiente del sistema de gestión documental de la entidad territorial</t>
  </si>
  <si>
    <t>Sistema de gestión documental de la entidad territorial funcionando eficientemente</t>
  </si>
  <si>
    <t xml:space="preserve">Secretaria General </t>
  </si>
  <si>
    <t>Acciones y procesos de transparencia, integridad, legalidad y gobierno abierto en la administración municipal implementado</t>
  </si>
  <si>
    <t>Implementar el sistema de gestión de seguridad y salud en el trabajo</t>
  </si>
  <si>
    <t>Secretaria General</t>
  </si>
  <si>
    <t>Mejorar la institucionalidad TIC, la infraestructura TIC y seguridad tecnológica de la entidad.</t>
  </si>
  <si>
    <t>Plan de mejoramiento de la Infraestructura TIC y de seguridad Tecnologica de la Entidad implementado</t>
  </si>
  <si>
    <t>Gestión eficiente de bienes muebles e inmuebles del municipio</t>
  </si>
  <si>
    <t>Gestión eficiente de preservación y mantenimiento de los bienes muebles e inmuebles</t>
  </si>
  <si>
    <t xml:space="preserve">Plan de mantenimiento del Parque Automotor </t>
  </si>
  <si>
    <t>Plan de gestión de preservación y mantenimiento de los bienes muebles e inmuebles del municipio implementado</t>
  </si>
  <si>
    <t xml:space="preserve">Plan de mantenimiento y enlucimiento de plazas de mercado municipales </t>
  </si>
  <si>
    <t>Plan de mantenimiento de las plazas de mercado ejecutado</t>
  </si>
  <si>
    <t>Gobierno Digital fortalecido</t>
  </si>
  <si>
    <t>Plan estratégico de fortalecimiento de la infraestructura informática y de telecomunicaciones del territorio</t>
  </si>
  <si>
    <t>Plan estratégico de fortalecimiento de la infraestructura informática y de telecomunicaciones del territorio fortalecido</t>
  </si>
  <si>
    <t>Gestión financiera del municipio fortalecida</t>
  </si>
  <si>
    <t>Incremento del porcentaje de recaudo de los ingresos corrientes de libre destinación del Municipio</t>
  </si>
  <si>
    <t>Recaudo de ICLD a 31 de diciembre de 2019</t>
  </si>
  <si>
    <t>ICLD incrementados en un 19%</t>
  </si>
  <si>
    <t>GESTIÓN FINANCIERA DEL MUNICIPIO FORTALECIDA</t>
  </si>
  <si>
    <t>Número de predios incluidos en la base catastral incrementado</t>
  </si>
  <si>
    <t>Ingresos corrientes de libre destinación incrementados</t>
  </si>
  <si>
    <t>ICLD A 31 DE DIC DE 2019</t>
  </si>
  <si>
    <t>% de incremento en la cartera recuperada</t>
  </si>
  <si>
    <t>Procesos de fiscalización y cobro persuasivo existentes a 2019</t>
  </si>
  <si>
    <t>Estatuto tributario actualizado</t>
  </si>
  <si>
    <t>Estatuto tributario 2016</t>
  </si>
  <si>
    <t>NP</t>
  </si>
  <si>
    <t>Fortalecimiento integral en procesos de evaluación institucional y reorganización administrativa</t>
  </si>
  <si>
    <t xml:space="preserve">Mejorar el Indicador de Desempeño Fiscal </t>
  </si>
  <si>
    <t>Estructura Administrativa y tecnologica a 31 de diciembre de 2019</t>
  </si>
  <si>
    <t>Estructura Administrativa y tecnologica modernizada</t>
  </si>
  <si>
    <t>Documento de modificación de la estructura administrativa de la Secretaría de Hacienda aprobado</t>
  </si>
  <si>
    <t>Módulos de sistemas de información financiera y tributaria implementados</t>
  </si>
  <si>
    <t>Informes presentados oportunamente a entes nacionales  de control</t>
  </si>
  <si>
    <t>Talento humano de la Secretaría de Hacienda cualificado</t>
  </si>
  <si>
    <t>Alianzas estrategicas para lograr la Sostenibilidad Financiera de EMTEL</t>
  </si>
  <si>
    <t xml:space="preserve"> Ampliación de cobertura EMTEL 10000</t>
  </si>
  <si>
    <t>Popayán Ciudad de Gestión para el desarrollo</t>
  </si>
  <si>
    <t>Fortalecimiento del área de proyectos para gestión de recursos externos del municipio</t>
  </si>
  <si>
    <t>INDICADOR DE
RESULTADO</t>
  </si>
  <si>
    <t>META DE RESULTADO</t>
  </si>
  <si>
    <t>META DE PRODUCTO</t>
  </si>
  <si>
    <t>INDICADOR DE
PRODUCTO</t>
  </si>
  <si>
    <t>LÍNEA BASE</t>
  </si>
  <si>
    <t>SUBPROGRAMAS</t>
  </si>
  <si>
    <t>Valorización Reestructurada</t>
  </si>
  <si>
    <t>Satisfacción del usuario garantizada</t>
  </si>
  <si>
    <t>Mantenimiento y/o Rehabilitación de Barrios</t>
  </si>
  <si>
    <t>% Índice  de Desempeño Institucional</t>
  </si>
  <si>
    <t>Creación de la Unidad Administrativa de Tecnologias TIC</t>
  </si>
  <si>
    <t>Mantenimiento y adecuación de la infraestructura educativa</t>
  </si>
  <si>
    <t>Estrategia de prevención de riesgos asociados a condiciones socio-ambientales desfavorables, para promover factores protectores para la salud implementada.</t>
  </si>
  <si>
    <t>Número de entornos intervenidos</t>
  </si>
  <si>
    <r>
      <t xml:space="preserve">Redes sociales y comunitarias, </t>
    </r>
    <r>
      <rPr>
        <sz val="10"/>
        <color rgb="FF000000"/>
        <rFont val="Arial"/>
        <family val="2"/>
      </rPr>
      <t>conformadas en comunas y veredas enfocadas en la seguridad alimentaria y nutricional</t>
    </r>
  </si>
  <si>
    <t>Número</t>
  </si>
  <si>
    <t>Estrategia de educación y comunicación e información en seguridad alimentaria y nutricional, importancia del control prenatal para prevenir el bajo peso al nacer y la protección de la lactancia materna implementada con las redes sociales y comunitarias</t>
  </si>
  <si>
    <t>N° de visitas</t>
  </si>
  <si>
    <t>Estrategia de educación, información y comunicación para la prevención de los factores de riesgo en materia de consumo de alimentos y bebidas implementada en el Municipio e Popayán</t>
  </si>
  <si>
    <r>
      <t>Estrategias de Información</t>
    </r>
    <r>
      <rPr>
        <sz val="10"/>
        <color rgb="FF000000"/>
        <rFont val="Arial"/>
        <family val="2"/>
      </rPr>
      <t xml:space="preserve"> en educación y comunicación para la salud implementadas para promocionar los derechos sexuales y reproductivos con enfoque diferencial en el municipio de Popayán                      </t>
    </r>
  </si>
  <si>
    <t xml:space="preserve">Estrategias de información en educación y comunicación para la implementación de la ruta integral de atención materno perinatal en el municipio de Popayán. </t>
  </si>
  <si>
    <t xml:space="preserve">Estrategias de información en salud, educación y comunicación para la salud, dirigidas a la prevención de ITS, VIH/SIDA implementadas con el lema Creo en la Vida y en mi Sexualidad Responsable, en el municipio de Popayán.     </t>
  </si>
  <si>
    <t>Estrategias de información en salud frente a prevención y reconocimiento del delito sexual y activación de ruta en salud, en línea con la Ley 1719 de 2017.</t>
  </si>
  <si>
    <t>Redes institucionales frente a la estrategia “tuberculosis en grandes ciudades” conformada en Popayán.</t>
  </si>
  <si>
    <t>N° de jornadas de donación de sangre por año</t>
  </si>
  <si>
    <t>Estrategia de fortalecimiento de la red hospitalaria municipal ante emergencias y desastres.</t>
  </si>
  <si>
    <t>Estrategia educativa y comunicativa para la identificación y prevención de los riesgos laborales   dirigida a la población informal trabajadora implementada en el municipio de Popayán</t>
  </si>
  <si>
    <t xml:space="preserve">N° </t>
  </si>
  <si>
    <t>N° de personas con discapacidad</t>
  </si>
  <si>
    <t>Número de Estrategias</t>
  </si>
  <si>
    <t>Número de IPS</t>
  </si>
  <si>
    <t>Por tu salud y seguridad</t>
  </si>
  <si>
    <t>Pilotaje para el diseño del modelo de salud "Popayán Saludable" realizado en la comuna 6 y sector aledaño al relleno sanitario “Los Picachos”</t>
  </si>
  <si>
    <t>Mecanismos de participación comunitaria (Consejos territoriales de salud, comités de participación comunitaria y liga de usuarios, veedurías), y defensoría del usuario del municipio implementado conformados y operando</t>
  </si>
  <si>
    <t>Porcentaje</t>
  </si>
  <si>
    <t>N° de establecimientos</t>
  </si>
  <si>
    <r>
      <t>Plan de acción de la mesa intersectorial de salud imple</t>
    </r>
    <r>
      <rPr>
        <sz val="10"/>
        <color rgb="FF000000"/>
        <rFont val="Arial"/>
        <family val="2"/>
      </rPr>
      <t>mentado</t>
    </r>
  </si>
  <si>
    <t xml:space="preserve">Monitoreo y seguimiento al plan de acción del modelo de acción territorial en salud- MAITE-SISPI  </t>
  </si>
  <si>
    <t>Plan de acción anual de la política pública de salud mental implementado</t>
  </si>
  <si>
    <t>Formulación de la política pública del deporte, la recreación y la actividad física</t>
  </si>
  <si>
    <t>Número de programas</t>
  </si>
  <si>
    <t>N.º de eventos realizados</t>
  </si>
  <si>
    <t>N.º de grupos de PCD participando</t>
  </si>
  <si>
    <t>N.º de participantes</t>
  </si>
  <si>
    <t>Estrategia de promoción de lectura, escritura y oralidad implementada</t>
  </si>
  <si>
    <t>Acuerdo 018 del 2019 - Escuela de Música Municipal, implementado</t>
  </si>
  <si>
    <t>Estrategia de fortalecimiento y visibilización de Popayán "Vive Popayán"</t>
  </si>
  <si>
    <t>Nº de eventos de intercambio cultural realizados</t>
  </si>
  <si>
    <t>Estrategia de entornos protectores para la primera infancia en zonas priorizadas con enfoque diferencial, implementada</t>
  </si>
  <si>
    <t>%de implementación</t>
  </si>
  <si>
    <t>Sistema de responsabilidad penal para adolescentes y jóvenes, fortalecido</t>
  </si>
  <si>
    <t>N.º de acciones de fortalecimiento</t>
  </si>
  <si>
    <t>Estrategia de entornos protectores para la infancia y la adolescencia en zonas priorizadas con enfoque diferencial implementada</t>
  </si>
  <si>
    <t>Articuladas acciones de atención y seguimiento a beneficiarios de los programas sociales y las familias en riesgo social de Popayán.</t>
  </si>
  <si>
    <t>Política pública de adulto mayor ajustada e implementada</t>
  </si>
  <si>
    <t>N.° de Centros de Bienestar habilitados y fortalecidos</t>
  </si>
  <si>
    <t>Fortalecimiento de la calidad en la prestación del servicio de agua potable en Popayán</t>
  </si>
  <si>
    <t>N.º</t>
  </si>
  <si>
    <t>&lt;=4</t>
  </si>
  <si>
    <t>Fortalecimiento de la competitividad en la empresa Acueducto y Alcantarillado de Popayán</t>
  </si>
  <si>
    <t>N.º de familias con acceso</t>
  </si>
  <si>
    <t>Fondo de Vivienda municipal reactivado.</t>
  </si>
  <si>
    <t xml:space="preserve">Santa Isabel </t>
  </si>
  <si>
    <t>Proyecto  Elaborado.</t>
  </si>
  <si>
    <t>N.º familias beneficiadas</t>
  </si>
  <si>
    <t xml:space="preserve">Convocatoria VIS RURAL 2017 </t>
  </si>
  <si>
    <t xml:space="preserve">Apoyo a Asociaciones de Vivienda </t>
  </si>
  <si>
    <t>Reubicación de viviendas por alto riesgo de amenaza</t>
  </si>
  <si>
    <t>Construcción de unidades sanitarias con sistema de tratamiento para vivienda rural dispersa</t>
  </si>
  <si>
    <t>Propiedades rurales gestionadas</t>
  </si>
  <si>
    <t xml:space="preserve">Áreas de espacios públicos recuperados </t>
  </si>
  <si>
    <t xml:space="preserve">Promoción institucional e interinstitucional </t>
  </si>
  <si>
    <t>N.º  promociones</t>
  </si>
  <si>
    <t>Popayán Territorio Seguro para las Mujeres de todas las edades</t>
  </si>
  <si>
    <t>N.º de zonas</t>
  </si>
  <si>
    <t>N.º de mujeres en la ruta</t>
  </si>
  <si>
    <t>N.º de mujeres participantes</t>
  </si>
  <si>
    <t>Proyectos de inversión con enfoque de género que implementan la política pública y se reporta en el trazador presupuestal de equidad para la mujer.</t>
  </si>
  <si>
    <t>Fortalecidas las competencias con enfoque de género de funcionarios y contratistas de la entidad y sus entes descentralizados.</t>
  </si>
  <si>
    <t>Nº de acciones de prevención implementadas</t>
  </si>
  <si>
    <t>Estrategia integral para la atención a la población privada de la libertad del municipio de Popayán (Ley 65 de 1993) dinamizada</t>
  </si>
  <si>
    <t>Estrategia de atención, orientación y/o articulación humanitaria para la población migrante implementada</t>
  </si>
  <si>
    <t>Estrategia institucional para la prevención, protección y atención a víctimas de conflicto armado implementada</t>
  </si>
  <si>
    <t>Estrategia de asistencia y atención a víctimas del conflicto armado implementada.</t>
  </si>
  <si>
    <t>Plan integral de seguridad y convivencia ciudadana PISCC formulado e implementado.</t>
  </si>
  <si>
    <t>Creación del observatorio</t>
  </si>
  <si>
    <t>Fortalecimiento de la capacidad operativa de la fuerza pública y demás entidades de seguridad.</t>
  </si>
  <si>
    <t>N° de acciones de fortalecimiento</t>
  </si>
  <si>
    <t>Estrategia comunicativa para el fortalecimiento de la justicia</t>
  </si>
  <si>
    <t>Estrategia de fortalecimiento a los operadores de justicia comunitaria.</t>
  </si>
  <si>
    <t>Estrategia de fortalecimiento a las instancias de participación ciudadana, las JAL, las veedurías, vocales de control y la acción comunal implementadas</t>
  </si>
  <si>
    <t xml:space="preserve">% de formulación </t>
  </si>
  <si>
    <t xml:space="preserve">Nº de sesiones realizadas </t>
  </si>
  <si>
    <t>N.º de luminarias nuevas LED</t>
  </si>
  <si>
    <t>N.º de luminarias de sodio</t>
  </si>
  <si>
    <t>Reflectores MH</t>
  </si>
  <si>
    <t>Plan de supervisión de las obras en bienes públicos e inmuebles de Popayán implementados.</t>
  </si>
  <si>
    <t xml:space="preserve">% formulación </t>
  </si>
  <si>
    <t>N.º de barrios</t>
  </si>
  <si>
    <t>UPAs censadas y caracterizadas desglosadas por cadenas productivas , tipo de unidad (cooperativas, asociaciones, familias productoras y pymes) y zona</t>
  </si>
  <si>
    <t>UPAs que reciben acompañamiento del municipio</t>
  </si>
  <si>
    <t>Nº de organizaciones de economía solidaría participantes</t>
  </si>
  <si>
    <t>Cadenas productivas con implementación de planes de extensión agropecuaria (ley 1876 de 2017)</t>
  </si>
  <si>
    <t>Nº de procesos implementados</t>
  </si>
  <si>
    <t xml:space="preserve">Bases de datos de mercado laboral sectorial con enfoque diferencial creadas y consolidadas. </t>
  </si>
  <si>
    <t>Nº de bases de datos consolidadas.</t>
  </si>
  <si>
    <t>Nº de difusiones realizdas</t>
  </si>
  <si>
    <t>Nº de empresas participantes</t>
  </si>
  <si>
    <t>Creación e implementación de una estrategia de ciencia tecnología e innovación para las instituciones educativas públicas y privadas del municipio</t>
  </si>
  <si>
    <t>Alianzas con universidades e instituciones universitarias para la implementación de la estrategia de robótica acordadas.</t>
  </si>
  <si>
    <t>Nº de instituciones aliadas</t>
  </si>
  <si>
    <t>I.E.  articuladas a la estrategia de robótica y programación</t>
  </si>
  <si>
    <t>Nº de IEs  articuladas</t>
  </si>
  <si>
    <t>Niños y niñas que participaron en la estrategia de robótica y programación</t>
  </si>
  <si>
    <t>Nº de espacios creados</t>
  </si>
  <si>
    <t>Oferta de servicios turísticos caracterizada en Popayán</t>
  </si>
  <si>
    <t>Estrategia de promoción de las áreas de desarrollo naranja implementadas</t>
  </si>
  <si>
    <t>N° áreas apoyadas</t>
  </si>
  <si>
    <t xml:space="preserve">Nº de modelos creados </t>
  </si>
  <si>
    <t>Campañas de difusión y prevención  de las condiciones de riesgo realizadas.</t>
  </si>
  <si>
    <t>Sistemas ecológicos intervenidos</t>
  </si>
  <si>
    <t>Proceso de formalización de mineros</t>
  </si>
  <si>
    <t>PGIRS actualizado  e implementado</t>
  </si>
  <si>
    <t xml:space="preserve">Zonas ribereñas mantenidas </t>
  </si>
  <si>
    <t>Residuos sólidos aprovechados</t>
  </si>
  <si>
    <t>Abono orgánico producido</t>
  </si>
  <si>
    <t>Manejo de residuos sólidos PGIRS</t>
  </si>
  <si>
    <t>Plan de restauración ecológica participativa en ecosistemas estratégicos de áreas urbanas y rurales del municipio de Popayán</t>
  </si>
  <si>
    <t>Árboles sembrados en zona rural</t>
  </si>
  <si>
    <t>Personas atendidas frente al Nº de solicitudes</t>
  </si>
  <si>
    <t>Estrategia de fortalecimiento integral del Sisbén implementada</t>
  </si>
  <si>
    <t>Estrategia para el fortalecimiento técnico administrativa del proceso de estratificación formulada e implementada</t>
  </si>
  <si>
    <t>Elaboración de estudios técnicos complementarios para la implementación POT</t>
  </si>
  <si>
    <t>N° de estudios realizados</t>
  </si>
  <si>
    <t xml:space="preserve">Fortalecimiento de los procesos de control urbanístico </t>
  </si>
  <si>
    <t xml:space="preserve">Nº </t>
  </si>
  <si>
    <t>Nº de municipios</t>
  </si>
  <si>
    <t xml:space="preserve">Rediseño institucional de las unidades administrativas del municipio </t>
  </si>
  <si>
    <t>Modelo integrado de Planeación y Gestión MIPG implementado</t>
  </si>
  <si>
    <t>Sistema Integrado de Gestión para la operación de entidad implementado</t>
  </si>
  <si>
    <t>Parque Automotor de la Entidad renovado</t>
  </si>
  <si>
    <t>Plan recuperación y legalización de predios e inmuebles ejecutado</t>
  </si>
  <si>
    <t>No. predios e inmuebles recuperados y legalizados</t>
  </si>
  <si>
    <t>No. bienes muebles e inmuebles  intervenidos con mantenimiento anual</t>
  </si>
  <si>
    <t>No. de plazas de mercado mantenidas al año</t>
  </si>
  <si>
    <t>% implementación de plan</t>
  </si>
  <si>
    <t>Base catastral 2019 (124.416)</t>
  </si>
  <si>
    <t>% ICLD incrementado</t>
  </si>
  <si>
    <t>Procesos de fiscalización y cobro persuasivo actualizados e implementados</t>
  </si>
  <si>
    <t>%De procesos actualizados e implementados</t>
  </si>
  <si>
    <t>Documento actualizado</t>
  </si>
  <si>
    <r>
      <t>Campañas educativas realizadas en el contexto</t>
    </r>
    <r>
      <rPr>
        <b/>
        <sz val="10"/>
        <color theme="1"/>
        <rFont val="Arial"/>
        <family val="2"/>
      </rPr>
      <t xml:space="preserve"> </t>
    </r>
    <r>
      <rPr>
        <sz val="10"/>
        <color theme="1"/>
        <rFont val="Arial"/>
        <family val="2"/>
      </rPr>
      <t>deportivo para la resolución pacífica de conflictos</t>
    </r>
  </si>
  <si>
    <t>DESCRIPCIÓN DE 
METAS DE RESULTADO</t>
  </si>
  <si>
    <t xml:space="preserve">LÍNEAS
ESTRATÉGICAS </t>
  </si>
  <si>
    <t>NOMBRE DE
INDICADOR DE
RESULTADO</t>
  </si>
  <si>
    <t>LÍNEA BASE 
(2019)</t>
  </si>
  <si>
    <t>Desarrollo rural y 
agropecuario</t>
  </si>
  <si>
    <t>Fomento y fortalecimiento integral a 
productores agropecuarios sostenible de Popayán</t>
  </si>
  <si>
    <t>Ambiente y cambio 
climático</t>
  </si>
  <si>
    <t xml:space="preserve">Alianzas formalizadas entre el municipio y entidades de cooperación </t>
  </si>
  <si>
    <t>Nº de instituciones  vinculadas (hoteles)</t>
  </si>
  <si>
    <t>N° de planes implementados</t>
  </si>
  <si>
    <t>Rutas turísticas y ecoturisticas fortalecidas y articuadas a la oferta municipal</t>
  </si>
  <si>
    <t>Nº de rutas</t>
  </si>
  <si>
    <t>Incubadora de proyectos turísticos y ecoturísticos implementada</t>
  </si>
  <si>
    <t>N° de proyectos articulados</t>
  </si>
  <si>
    <t>Unidades productivas fortalecidas con procesos de reactivación económica</t>
  </si>
  <si>
    <t>N° de jóvenes que participan</t>
  </si>
  <si>
    <t>Catastro arbóreo urbano realizado</t>
  </si>
  <si>
    <t>N° de comunas intervenidas</t>
  </si>
  <si>
    <t>N° de estrategas implementadas</t>
  </si>
  <si>
    <t>Vivero municipal certificado</t>
  </si>
  <si>
    <t>N° de experiencias</t>
  </si>
  <si>
    <t>N° de experiencias diseñadas</t>
  </si>
  <si>
    <t>Huertas urbanas y rurales creadas</t>
  </si>
  <si>
    <t>N° de políticas presentadas</t>
  </si>
  <si>
    <t>Política pública municipal de emprendimiento y fomento de la economía solidaria acorde a la ley 1988 de 2019 presentada</t>
  </si>
  <si>
    <t>Política pública municipal de emprendimiento y fomento de la economía solidaria acorde a la ley 1988 de 2019 implementada</t>
  </si>
  <si>
    <t>N° de proyectos presentados</t>
  </si>
  <si>
    <t>Proyectos formulados y presentados a fuentes de cooperación nacional e internacional</t>
  </si>
  <si>
    <t>N° de manuales creados</t>
  </si>
  <si>
    <t>Cadenas productivas apoyadas en Popayán</t>
  </si>
  <si>
    <t xml:space="preserve">UPAs encaminadas al proceso de formalización en el municipio de Popayán </t>
  </si>
  <si>
    <t>Alianzas comerciales con énfasis en pymes, economía social y solidaria promovidas</t>
  </si>
  <si>
    <t>Emprendimientos productivos rurales con enfoque diferencial acompañados con implementación de planes de extensión agropecuaria (ley 1876 de 2017)</t>
  </si>
  <si>
    <t>N° de difusiones realizadas</t>
  </si>
  <si>
    <t>Productividad del sector de alimentos promovida 
en el municipio con un centro de acopio para pequeños productores</t>
  </si>
  <si>
    <t xml:space="preserve">N° de centros de acopio de alimentos para pequeños productores locales diseñados </t>
  </si>
  <si>
    <t>N° de personas apoyadas</t>
  </si>
  <si>
    <t>N° de unidades productivas participantes</t>
  </si>
  <si>
    <t>Nº de emprendimientos participantes</t>
  </si>
  <si>
    <t>Fomento y orientación estratégica de la cultura de emprendimiento en Popayán</t>
  </si>
  <si>
    <t>Eventos de promoción de la cultura de  emprendimiento  realizados en Popayán</t>
  </si>
  <si>
    <t>Estrategias de robótica y programación creadas implementada</t>
  </si>
  <si>
    <t>Hectáreas en mantenimiento  con restauración y reforestación en AIA</t>
  </si>
  <si>
    <t>Adaptación  y mitigación  al cambio climático</t>
  </si>
  <si>
    <t>Manual de procedimiento para gestión  recursos creado</t>
  </si>
  <si>
    <t>Bienes públicos e inmuebles gestionados eficientemente (supervisión)</t>
  </si>
  <si>
    <t>Bienes públicos e inmuebles</t>
  </si>
  <si>
    <t>% de bienes supervisados</t>
  </si>
  <si>
    <t>Nº de instrumentos de planificación, incorporados al ordenamiento territorial en aplicación e implementados</t>
  </si>
  <si>
    <t>Comité de estratificación municipal funcionando</t>
  </si>
  <si>
    <t>Planificación y ordenamiento territorial</t>
  </si>
  <si>
    <t>Personas con SISBEN actualizado</t>
  </si>
  <si>
    <t>% de personas atendidas</t>
  </si>
  <si>
    <t>% de viviendas actualizadas con respecto a las solicitudes (Estratificación)</t>
  </si>
  <si>
    <t>% viviendas estratificadas</t>
  </si>
  <si>
    <t xml:space="preserve">N° de Sistemas de información </t>
  </si>
  <si>
    <t>Implementación, ejecución y seguimiento del PDM 2020 - 2023</t>
  </si>
  <si>
    <t>POT formulado y adoptado</t>
  </si>
  <si>
    <t>Plan de regularización de asentamientos humanos establecido y normatizado</t>
  </si>
  <si>
    <t>N° de asentamientos regularizadas</t>
  </si>
  <si>
    <t xml:space="preserve">Ente gestor  para el desarrollo y renovación  territorial </t>
  </si>
  <si>
    <t>Fortalecido el patrimonio del municipio</t>
  </si>
  <si>
    <t>PEMP actualizado y aprobado</t>
  </si>
  <si>
    <t>Estrategia para la dinamización del patrimonio material e inmaterial del territorio (histórico, ambiental y cultural) formulada e implementada</t>
  </si>
  <si>
    <t>Gestión para la implementación de la figura administrativa de municipio Región en el marco de la normatividad vigente</t>
  </si>
  <si>
    <t>Implementado plan Popayán muicipio región</t>
  </si>
  <si>
    <t>Popayán municipio región</t>
  </si>
  <si>
    <t>Zonas de riesgo atendidas con procesos de conocimiento del riesgo de desastres, según lo regulado por la ley 1523  del 2012 y el decreto 2157 del 2017.</t>
  </si>
  <si>
    <t xml:space="preserve">% de zonas de riesgo efectivamente atendidas por el municipio. </t>
  </si>
  <si>
    <t>% equipos fortalecidos con mantenimiento</t>
  </si>
  <si>
    <t>Nº de campañas</t>
  </si>
  <si>
    <t>Zonas de riesgo atendidas con procesos de reduccion del riesgo de desastres, según lo regulado por la ley 1523  del 2012 y el decreto 2157 del 2017.</t>
  </si>
  <si>
    <t>Medidas correctivas implementadas en escenarios de riesgos priorizados.</t>
  </si>
  <si>
    <t>Nº de medidas correctivas realizadas</t>
  </si>
  <si>
    <t>Planes de capacitacion en gestion del riesgo de desatres para instituciones realizadas</t>
  </si>
  <si>
    <t>Zonas de riesgo atendidas con procesos de  manejo del riesgo de desastres, según lo regulado por  la ley 1523  del 2012 y el decreto 2157 del 2017.</t>
  </si>
  <si>
    <t>Procesos de articulacion del CMGRD generados.</t>
  </si>
  <si>
    <t>Instrumentos de planificacion implementados</t>
  </si>
  <si>
    <t>Fortalecimento de capacidades institucionales para la respuesta a las emergencias implementadas</t>
  </si>
  <si>
    <t>% de cumplimiento del componente de preparación para la respuesta a emergencias. Decreto 2157/2017</t>
  </si>
  <si>
    <t>N° de participantes</t>
  </si>
  <si>
    <t>Zonas rurales y urbanas intervenidas para la garantía de condiciones de seguridad para las mujeres de todas las edades</t>
  </si>
  <si>
    <t>Incrementar la Participación política de mujeres en cargos de elección popular en el municipio de Popayán</t>
  </si>
  <si>
    <t xml:space="preserve">Ampliada la cobertura de proyectos de emprendimientos e iniciativas productivas sostenibles para las mujeres </t>
  </si>
  <si>
    <t xml:space="preserve">Mujeres que paeticipan en procesos de formación política. </t>
  </si>
  <si>
    <t>Acceso a servicios integrales para mujeres ofertados por las entidades municipales</t>
  </si>
  <si>
    <t xml:space="preserve">Política pública de mujer  implementada </t>
  </si>
  <si>
    <t>N° de políticas aprobadas</t>
  </si>
  <si>
    <t>Política pública de mujer ajustada y aprobada</t>
  </si>
  <si>
    <t xml:space="preserve">Nº de proyectos </t>
  </si>
  <si>
    <t>Seguimiento a la paridad de género en la contratación y vinculación laboral de la entidad implementado</t>
  </si>
  <si>
    <t>Apoyo y fortalecemiento de las capacidades empresariales, organizativas y económicas de las mujeres implementado</t>
  </si>
  <si>
    <t>Monitoreo y seguimiento para la implementación de 3 rutas de gestión del riesgo priorizadas por las EAPB según resultados de la caracterización realizada</t>
  </si>
  <si>
    <t>Incrementado el N° de personas en las comunas y veredas que realizan  una practica deportiva</t>
  </si>
  <si>
    <t>Nº de participantes por año</t>
  </si>
  <si>
    <t>Escenarios deportivos y recreativos fortalecidos</t>
  </si>
  <si>
    <t>Nº de escenarios fortalecidos</t>
  </si>
  <si>
    <t>Practica de actividad física realizadas por la Administración Municipal</t>
  </si>
  <si>
    <t>Población  participando de las estrategias de recreación y juegos tradicionales</t>
  </si>
  <si>
    <t>Estrategia de recreación y juegos tradicionales con enfoque diferencial implementada</t>
  </si>
  <si>
    <t>Incrementada la población que participa en programas de promoción de la lectura, la escritura y oralidad</t>
  </si>
  <si>
    <t>Red de bibliotecas públicas y comunitarias fortalecidas</t>
  </si>
  <si>
    <t>N° de Bibliotecas creadas</t>
  </si>
  <si>
    <t>Programa municipal de estímulos con enfoque diferencial fortalecido</t>
  </si>
  <si>
    <t>% de personas participando en espacios culturales respecto de la población priorizada</t>
  </si>
  <si>
    <t>Nº de estímulos entregados en el cuatrenio</t>
  </si>
  <si>
    <t>Programa municipal de concertación cultural con enfoque diferencial creado</t>
  </si>
  <si>
    <t>N° de escuelas de música implementadas</t>
  </si>
  <si>
    <t>Nº de escuelas implementadas anualmente</t>
  </si>
  <si>
    <t>Área de desarrollo de economía naranja creada e implementada</t>
  </si>
  <si>
    <t>N° de áreas</t>
  </si>
  <si>
    <t>Nº de eventos apoyados en el cuatrenio</t>
  </si>
  <si>
    <t>Política pública salvaguarda procesiones de semana santa actualizada e implementada</t>
  </si>
  <si>
    <t>% de actualización e implementación</t>
  </si>
  <si>
    <t>Política pública de cocinas tradicionales implementada</t>
  </si>
  <si>
    <t>N° de acciones implementadas</t>
  </si>
  <si>
    <t>Su bienestar social y emocional es nuestra prioridad</t>
  </si>
  <si>
    <t xml:space="preserve">Hospitales y clínicas públicas y privadas del municipio de Popayán fortalecida para la atención de emergencias y desastres
</t>
  </si>
  <si>
    <t>Estrategias implementadas a nivel urbano y rural relacionadas con la gestión integrada para la vigilancia, promoción de la salud, prevención y control de las ETV y la zoonosis</t>
  </si>
  <si>
    <t xml:space="preserve">Estrategia de gestión integrada para la vigilancia, promoción de la salud, prevención y control de las ETV y la zoonosis con metodología COMBI implementada a nivel urbano y rural en Popayán </t>
  </si>
  <si>
    <t>Popayán es animalista</t>
  </si>
  <si>
    <t>% de atención de animales respecto de la demanda</t>
  </si>
  <si>
    <t>Estrategia de protección y bienestar animal implementada</t>
  </si>
  <si>
    <t>Protección y bienestar animal</t>
  </si>
  <si>
    <t xml:space="preserve">Garantizada la protección y bienestar animal </t>
  </si>
  <si>
    <t>Política pública de protección y bienestar animal ajustada</t>
  </si>
  <si>
    <t>Estudios técnicos sobre amenaza, vulnerabilidad y riesgo elaborados y/o actualizados.</t>
  </si>
  <si>
    <t>Fortalecimiento de instrumentos de monitoreo realizado</t>
  </si>
  <si>
    <t>Mejoramiento de la seguridad vial y la movilidad en Popayán</t>
  </si>
  <si>
    <t>N° Víctimas por año</t>
  </si>
  <si>
    <t>N° Victimas por año</t>
  </si>
  <si>
    <t>Estrategia integral de cultura ciudadana, seguridad vial y ambiental</t>
  </si>
  <si>
    <t>Plan maestro de movilidad</t>
  </si>
  <si>
    <t>Plan maestro de movilidad implementado</t>
  </si>
  <si>
    <t>Población participando en el desarrollo de medidas de adaptación y mitigación al cambio climático</t>
  </si>
  <si>
    <t>Estrategia de modernización para la movilidad y el transporte</t>
  </si>
  <si>
    <t>Estrategia de modernización para la movilidad y el transporte implementada</t>
  </si>
  <si>
    <t xml:space="preserve">Plan Educativo Municipal formulado e implementado </t>
  </si>
  <si>
    <t xml:space="preserve">Seguimiento pedagógico a las instituciones educativas  en el marco de la jornada única implementado </t>
  </si>
  <si>
    <t>Encuentro anual Municipal  de docentes de transición realizados</t>
  </si>
  <si>
    <t>Apoyados los procesos pedagógicos de enseñanza y aprendizaje para fortalecer las diferentes competencias evaluadas de los colegios oficiales URBANOS.</t>
  </si>
  <si>
    <t xml:space="preserve">Apoyados los procesos de gestión escolar de las I.E. priorizadas : PEI, PMI y SIEE </t>
  </si>
  <si>
    <t>Fortalecimiento de capacidades para la gestión del riesgo en I.E.</t>
  </si>
  <si>
    <t xml:space="preserve">Implementación del plan territorial de formación docente </t>
  </si>
  <si>
    <t>1 Proceso anual de Lecto escritura fortalecidos</t>
  </si>
  <si>
    <t>Plan de Lectura y Escritura en las I.E. fortalecido</t>
  </si>
  <si>
    <t xml:space="preserve">Semilleros de investigación promovidos en las i.e. del municipio </t>
  </si>
  <si>
    <t>Formulación del  Plan de Acción del Plan educativo Rural PER</t>
  </si>
  <si>
    <t>Instituciones Educativas mantenidas</t>
  </si>
  <si>
    <t>Fortalecimiento a la permanencia escolar</t>
  </si>
  <si>
    <t>Incrementado el Nº de Estudiantes atendidos con estándares de calidad en alimentación escolar, Urbanos.</t>
  </si>
  <si>
    <t>Incrementado el Nº de Estudiantes atendidos con estándares de calidad en alimentación escolar, Rurales</t>
  </si>
  <si>
    <t>Acceso al sistema educativo incluyente fortalecido.</t>
  </si>
  <si>
    <t>Niños, Niñas y Adolescentes –NNA- que acceden la oferta educativa con  permanencia y enfoque diferencial.</t>
  </si>
  <si>
    <t>Modelos educativos flexibles para población en condiciones de vulnerabilidad promovidos.</t>
  </si>
  <si>
    <t>Plan de mejoramiento de la planta  física y Tecnológica de la Secretaria de Educación implementado</t>
  </si>
  <si>
    <t>Actualización del plan de obras</t>
  </si>
  <si>
    <t>N° de Proyectos</t>
  </si>
  <si>
    <t xml:space="preserve">Gestión de proyectos de VIS </t>
  </si>
  <si>
    <t>Mejoramiento de vivienda urbana y rural en Popayán en el marco del programa nacional: Casa Digna, Vida Digna y otros</t>
  </si>
  <si>
    <t>Atención integral a la primera infancia, infancia y adolescencia</t>
  </si>
  <si>
    <t>Población de primera infancia que acceden a las estrategias de atención integral con respecto a la priorización de las secretarias y entidades responsables de la oferta para la garantía de los derechos.</t>
  </si>
  <si>
    <t>Política pública ajustada y presentada</t>
  </si>
  <si>
    <t>% de ajuste</t>
  </si>
  <si>
    <t>Estrategia de atención integral con enfoque diferencial para la primera infancia de Popayán, implementada</t>
  </si>
  <si>
    <t>Disminuir la tasa de trabajo infantil</t>
  </si>
  <si>
    <t>Estrategia de atención integral a la infancia y la adolescencia del municipio de Popayán</t>
  </si>
  <si>
    <t>Adolescentes infractores intervenidos SRPA (Sistema de responsabilidad penal para adolescentes) con respecto a la priorización, que realicen las secretarias y entidades responsables de la oferta para la garantía de derechos</t>
  </si>
  <si>
    <t>Población de infancia y  adolescencia que accede a las estrategias integrales con respecto a la priorización, que realicen las secretarias y entidades responsables de la oferta para la garantía de derechos</t>
  </si>
  <si>
    <t>% de personas en la infancia y la adolescencia que acceden a las estrategias</t>
  </si>
  <si>
    <t>Estrategia de atención integral para la infancia y la adolescencia en Popayán, implementada</t>
  </si>
  <si>
    <t>Jóvenes que participan de las diferentes estrategias para el desarrollo juvenil con respecto a la priorización que realicen las secretarias y entidades responsables de la oferta, para la garantía de derechos</t>
  </si>
  <si>
    <t>Política Pública de juventud formulada y presentada</t>
  </si>
  <si>
    <t>Estrategia Integral para la implementación del Estatuto de la ciudadanía juvenil – Ley 1885 del 2018</t>
  </si>
  <si>
    <t>Estrategia para la creación y fortalecimiento del  Consejo Municipal de Juventud.</t>
  </si>
  <si>
    <t>Familias Popayán</t>
  </si>
  <si>
    <t>Familias vulnerables o en riesgo que acceden a la oferta institucional con respecto a la priorización, que realicen las secretarias y entidades responsables de la oferta, para la garantía de derechos</t>
  </si>
  <si>
    <t xml:space="preserve">% de familias que acceden a la oferta institucional </t>
  </si>
  <si>
    <t>Población con acceso a las estrategias de reconocimiento y atención a las personas con orientaciones sexuales e identidades de género diversas LGBTI y otros, con respecto a la priorización que realicen las secretarias y entidades responsables de la oferta para la garantía de derechos</t>
  </si>
  <si>
    <t>Estrategia de reconocimiento y atención a las personas con orientaciones sexuales e identidades de género diversas LGBTI y otros.</t>
  </si>
  <si>
    <t>Política pública de reconocimiento a la diversidad sexual e identidades de género formulada y presentada.</t>
  </si>
  <si>
    <t>Población afrodescendiente, indígena y campesina que accede a las estrategias de atención, con respecto a la priorización que realicen las secretarias y entidades responsables de la oferta para la garantía de derechos</t>
  </si>
  <si>
    <t>Política pública para la población Afro formulada y presentada</t>
  </si>
  <si>
    <t>Estrategia integral de reconocimiento y garantía de derechos de la población afro implementada</t>
  </si>
  <si>
    <t>Estrategia de reconocimiento y garantía de derechos de la población Indígena implementada.</t>
  </si>
  <si>
    <t>Personas en alto grado de vulnerabilidad atendidas, con respecto a la priorización que realicen las secretarias y entidades responsables de la oferta para la garantía de derechos</t>
  </si>
  <si>
    <t>Población en alto grado de vulnerabilidad, beneficiada con atención básica.</t>
  </si>
  <si>
    <t>Implementadas acciones de prevención, protección y atención oportuna a defensores, defensoras y líderes sociales, comunales con respecto a la priorización que realicen las entidades responsables para la garantía de derechos.</t>
  </si>
  <si>
    <t xml:space="preserve">% personas con atención  </t>
  </si>
  <si>
    <t xml:space="preserve">Ruta para la prevención, protección y atención de los DDHH </t>
  </si>
  <si>
    <t>Ruta de prevención, protección y atención construida, socializada e implementada.</t>
  </si>
  <si>
    <t>Acciones de prevención, seguimiento y control del riesgo implementadas</t>
  </si>
  <si>
    <t>Personas participando en estrategias de promoción de DDHH en Popayán, con respecto a la priorización que realicen las entidades responsables para la garantía de derechos</t>
  </si>
  <si>
    <t>% de personas que acceden</t>
  </si>
  <si>
    <t>Estrategia de fortalecimiento al Consejo Municipal de Paz implementada</t>
  </si>
  <si>
    <t>Estrategia de prevención del reclutamiento y atención a personas en proceso reintegración y/o reincorporación implementada</t>
  </si>
  <si>
    <t>Política pública de derechos humanos formulada y presentada.</t>
  </si>
  <si>
    <t>Atención integral a la población víctima del conflicto armado</t>
  </si>
  <si>
    <t>Víctimas del conflicto con atención integral, con respecto a la priorización que realicen las secretarias y entidades responsables para la garantía de derechos</t>
  </si>
  <si>
    <t>N° de personas atendidas que se encuentran en RUV</t>
  </si>
  <si>
    <t>Política pública de víctimas ajustada y presentada</t>
  </si>
  <si>
    <t>% de iniciativas de seguridad y convivencia ciudadana apoyadas y promovidas por la administración, con respecto a las proyectadas por las entidades responsables.</t>
  </si>
  <si>
    <t>Observatorio Integral de Paz, Derechos Humanos y Comportamiento Delictivo creado e implementado.</t>
  </si>
  <si>
    <t>Popayán por el espacio público</t>
  </si>
  <si>
    <t xml:space="preserve">Áreas de espacio público recuperadas, mejoradas o mantenidas </t>
  </si>
  <si>
    <t xml:space="preserve">Nº de Areas </t>
  </si>
  <si>
    <t>Política pública para el vendedor informal y aprovechamiento del espacio público formulada y presentada.</t>
  </si>
  <si>
    <t>Estrategia para el buen uso del espacio público implementada</t>
  </si>
  <si>
    <t>Sistema de protección al consumidor fortalecido</t>
  </si>
  <si>
    <t>N° de acciones</t>
  </si>
  <si>
    <t xml:space="preserve">Garantizado el acceso a la justicia </t>
  </si>
  <si>
    <t>% de casos atendidos con respecto a las solicitudes presentadas</t>
  </si>
  <si>
    <t>Democracia y participación comunitaria</t>
  </si>
  <si>
    <t>% de instancias de participación ciudadana fortalecidas</t>
  </si>
  <si>
    <t>Política pública de participación ciudadana formulada y presentada</t>
  </si>
  <si>
    <t>Garantizadas las condiciones para el ejercicio de la libertad religiosa y de culto en el municipio de Popayán, con respecto a las priorizadas por los responsables</t>
  </si>
  <si>
    <t>% de estrategias implementadas</t>
  </si>
  <si>
    <t>Política pública de libertad religiosa y de culto formulada y presentada</t>
  </si>
  <si>
    <t>Estrategia para garantizar las condiciones para el ejercicio de la libertad  religiosa y de culto implementada</t>
  </si>
  <si>
    <t>Eficiencia administrativa para el mejoramiento de los servicios prestados por la Secretaria de Gobierno con modernización en su atención a los diferentes grupos poblaciones.</t>
  </si>
  <si>
    <t>Estrategia de gestión administrativa y financiera de la Secretaria de Gobierno fortalecida</t>
  </si>
  <si>
    <t>Gestión administrativa y financiera de la secretaria de Gobierno, fortalecida.</t>
  </si>
  <si>
    <t>Plan de modernización administrativa y organizacional de la dependencia</t>
  </si>
  <si>
    <t>Política pública de discapacidad implementada</t>
  </si>
  <si>
    <t>Gestión y desarrollo institucional, transparencia y modernidad</t>
  </si>
  <si>
    <t>Implementación de acciones y procesos de transparencia, integridad, legalidad y gobierno abierto en la administración mpal</t>
  </si>
  <si>
    <t>Aplicativo SIPROJWEB implementado</t>
  </si>
  <si>
    <t>% de 
Implementación</t>
  </si>
  <si>
    <t>SECOP II implementado</t>
  </si>
  <si>
    <t>Manual de contratación y supervisión actualizados</t>
  </si>
  <si>
    <t>% Vehículos Priorizados y Renovados</t>
  </si>
  <si>
    <t>% de Vehículos mantenidos</t>
  </si>
  <si>
    <t>No. de bienes inmuebles y muebles gestionados y/o mantenidos</t>
  </si>
  <si>
    <t xml:space="preserve">
No. predios nuevos incluidos </t>
  </si>
  <si>
    <t>No.predios incluidos en la base catastral 2019 (124.416)</t>
  </si>
  <si>
    <t>Incremento en la recuperacion efectiva de la cartera administrada por la Secretaria de Hacienda</t>
  </si>
  <si>
    <t>Proyecto de creación y reglamentación  de Fondo de contingencia (Art.90 ley 1955/2019)</t>
  </si>
  <si>
    <t>Proyecto aprobado y reglamentado</t>
  </si>
  <si>
    <t xml:space="preserve">Documento </t>
  </si>
  <si>
    <t>Equipos tecnologico adquiridos y/o actualizados</t>
  </si>
  <si>
    <t>No. Equipos actualizados y adquiridos</t>
  </si>
  <si>
    <t>No. de capacitaciones realizadas a servidores públicos</t>
  </si>
  <si>
    <t>Mejoramiento de Ingresos alianzas estratégicas</t>
  </si>
  <si>
    <t>%Implementación</t>
  </si>
  <si>
    <t>%implementación</t>
  </si>
  <si>
    <t>Comunícate Popayán</t>
  </si>
  <si>
    <t>Popayán con enfoque digital</t>
  </si>
  <si>
    <t>Índice de Desempeño en gobierno digital</t>
  </si>
  <si>
    <t xml:space="preserve">% implementación del plan </t>
  </si>
  <si>
    <t>% de mujeres que mejoran su   percepción frente a la inseguridad del municipio de Popayán</t>
  </si>
  <si>
    <t>51,5% urbano
25,6 % rural</t>
  </si>
  <si>
    <t>Cobertura del servicio de Acueducto en el área de prestación del servicio</t>
  </si>
  <si>
    <t>Intervención sobre Ampliación, Optimización y/o Reposición de Redes Acueducto realizada</t>
  </si>
  <si>
    <t>Hasta 500 lps.</t>
  </si>
  <si>
    <t>Cobertura del servicio de Alcantarillado en el área de prestación del servicio</t>
  </si>
  <si>
    <t>Intervención sobre Ampliación, Optimización y/o Reposición de Redes Redes Alcantarillado realizada</t>
  </si>
  <si>
    <t>Plan de obras del cuatrenio para reducción de vertimientos ejecutado</t>
  </si>
  <si>
    <t>ETAPA I - Planta de tratamiento de aguas residuales ejecutada</t>
  </si>
  <si>
    <t xml:space="preserve"> ETAPA I de la Construcción Planta de Tratamiento de Aguas Residuales PTAR</t>
  </si>
  <si>
    <t>Sistema Diferencial para la prestación del Servicio en zonas de difícil gestión implementado AGUA AL BARRIO</t>
  </si>
  <si>
    <t>Sostenibilidad ambiental AAPSA</t>
  </si>
  <si>
    <t>Plan de obras actualizado, aprobado e implementado</t>
  </si>
  <si>
    <t>% deimplementación</t>
  </si>
  <si>
    <t>Plan de adquisición de predios para obras contratadas y otras vías</t>
  </si>
  <si>
    <t>Plan de adquisición de predios para obras por valorización implementado</t>
  </si>
  <si>
    <t>Nuevas vías construidas</t>
  </si>
  <si>
    <t>No</t>
  </si>
  <si>
    <t>Mantenimiento rutinario vial con apoyo de comunidades</t>
  </si>
  <si>
    <t>Vías mantenidas con apoyo de las comunidades</t>
  </si>
  <si>
    <t>Vías mantenidas con maquinaria de propiedad del municipio</t>
  </si>
  <si>
    <t>Infraestructura para el cumplimiento de la normatividad en el matadero municipal del Popayán.</t>
  </si>
  <si>
    <t>Infraestructura para servicios públicos ( AA, alumbrado público, energía)</t>
  </si>
  <si>
    <t>Recursos transferidos</t>
  </si>
  <si>
    <t>Cantidad de recursos ($)</t>
  </si>
  <si>
    <t>Ampliación de cobertura de redes de energía eléctrica</t>
  </si>
  <si>
    <t>Recursos invertidos para ampliación ($)</t>
  </si>
  <si>
    <t>N° de alianzas formalizadas</t>
  </si>
  <si>
    <t>No.de Módulos del sistema implementados</t>
  </si>
  <si>
    <t>Acciones municipales  para el mejoramiento y 
conservación ambiental cumplidas según normatividad vigente</t>
  </si>
  <si>
    <t>Infraestructura y conectividad para la equidad, productividad  y competitividad</t>
  </si>
  <si>
    <t>Desarrollo económico  integral para la equidad, productividad y competitividad</t>
  </si>
  <si>
    <t>Medio ambiente y desarrollo sostenible</t>
  </si>
  <si>
    <t>RECURSOS
PROPIOS</t>
  </si>
  <si>
    <t>S.G.P.</t>
  </si>
  <si>
    <t>S.G.R.</t>
  </si>
  <si>
    <t>NACIÓN</t>
  </si>
  <si>
    <t>OTROS</t>
  </si>
  <si>
    <t>LÍNEA ESTRATÉGICA</t>
  </si>
  <si>
    <t>PLAN DE DESARROLLO MUNICIPAL POPAYÁN 2020 - 2023 "CREO EN POPAYÁN"</t>
  </si>
  <si>
    <t>PLAN  DE INVERSIONES</t>
  </si>
  <si>
    <t>VALORES POR PROGRAMAS Y FUENTES DE FINANCIACIÓN</t>
  </si>
  <si>
    <t>(Millones de pesos)</t>
  </si>
  <si>
    <t>FUENTES</t>
  </si>
  <si>
    <t>Todos participamos cuidando nuestra salud</t>
  </si>
  <si>
    <t>La atención integral en salud, un derecho</t>
  </si>
  <si>
    <t xml:space="preserve">Uniendo acciones por el bienestar de la gente </t>
  </si>
  <si>
    <t xml:space="preserve">   RECURSOS TOTALES
CREO EN POPAYÁN 2020 - 2023</t>
  </si>
  <si>
    <t>Recréate Popayán</t>
  </si>
  <si>
    <t>Vivienda y hábitat</t>
  </si>
  <si>
    <t>Recuperación del patrimonio material e inmaterial del territorio.  (histórico, Ambiental y Cultural)</t>
  </si>
  <si>
    <t xml:space="preserve">Implementación, seguimiento y acompañamiento pedagógico a la  jornada única </t>
  </si>
  <si>
    <t>Promoción de la regulación  y articulación de la prestación del servicio educativo formal y no formal</t>
  </si>
  <si>
    <t>Fortalecimiento de las competencias y aprendizajes de las diferentes áreas del conocimiento</t>
  </si>
  <si>
    <t>Apoyo al desarrollo e implementación del Plan Individual de Ajustes Razonables - PIAR para población Estudiantil con Discapacidad y/o talentos excepcionales .</t>
  </si>
  <si>
    <t>Fortalecimiento de competencias ciudadanas a través de los proyectos transversales y cátedras</t>
  </si>
  <si>
    <t>índice</t>
  </si>
  <si>
    <t>Estrategia de educación, información y comunicación para la salud enfocada en vigilancia, promoción de la salud, prevención y control de las enfermedades transmisibles (Tuberculosis, lepra, enfermedades emergentes, re-emergentes incluida el COVID-19 y desatendidas) y control en EDA e IRA, implementada  en las áreas urbana y rural priorizadas en Popayán</t>
  </si>
  <si>
    <t xml:space="preserve">UNIENDO ACCIONES POR EL BIENESTAR DE LA GENTE </t>
  </si>
  <si>
    <t>Biblioteca itinerante creada</t>
  </si>
  <si>
    <t xml:space="preserve">% de niños y niñas con garantía de derechos </t>
  </si>
  <si>
    <t>% de adolecentes intervenidos del SRPA</t>
  </si>
  <si>
    <t>% de jóvenes participando</t>
  </si>
  <si>
    <t>% de personas que acceden a las estrategias</t>
  </si>
  <si>
    <t xml:space="preserve">% de personas que acceden a las estrategias </t>
  </si>
  <si>
    <t>N° de políticas validadas</t>
  </si>
  <si>
    <t>Nº de UPAs que  participan</t>
  </si>
  <si>
    <t>Compra  predio para construcción de la PTAR</t>
  </si>
  <si>
    <t>Ambiente y desarrollo sostenible</t>
  </si>
  <si>
    <t xml:space="preserve">Diseño, gestión de recursos e interventoría para la construcción de nuevas vías priorizadas  (puentes, intersecciones y/o vías priorizadas) </t>
  </si>
  <si>
    <t>N.º de escenarios</t>
  </si>
  <si>
    <t>Gestión de Proyecto Centro Comercial Anarkos</t>
  </si>
  <si>
    <t>Diseño y construccion Centro de  Bienestar Animal CBA Municipal.</t>
  </si>
  <si>
    <t>Estudios y diseños para mediosde transporte alternativo (prefactibilidad y/o factibilidad y/o diseños en fase III)</t>
  </si>
  <si>
    <t>Parques lineales biosaludables y/o jardines botánicos</t>
  </si>
  <si>
    <t>Diseño, gestión de rescursos ,inteventoría de los parques lineales biosaludables y/o jardines botánicos</t>
  </si>
  <si>
    <t xml:space="preserve">Acompañamiento, fortalecimiento e implementación conceptual de los proyectos pedagógicos transversales, Cátedras ( Catedra Popayán, Cátedra de Estudios Afrocolombianos , Cátedra  de la Paz, Cátedra Animalista), y transversalización con las áreas fundamentales. </t>
  </si>
  <si>
    <t>Política pública aprobada e implementada</t>
  </si>
  <si>
    <t>Escuelas culturales y/o artísticas, descentralizadas en comunas y veredas en diferentes géneros y modalidades, para el fortalecimiento de la red cultural, con enfoque diferencial, implementadas</t>
  </si>
  <si>
    <t xml:space="preserve">Mejorar  la percepción de seguridad de las mujeres en el municipio de Popayán </t>
  </si>
  <si>
    <t xml:space="preserve">Garantizada la seguridad, autonomía, soberanía alimentaria y nutricional en personas de alto grado de vulnerabilidad con respecto a la priorización que realicen las Secretarías y entidades responsables de la oferta. </t>
  </si>
  <si>
    <t xml:space="preserve">Garantizado el cuidado de la salud mental en personas de alto grado de vulnerabilidad con respecto a la priorización que realicen las Secretarías y entidades responsables de la oferta. </t>
  </si>
  <si>
    <t>Política pública de Seguridad, Autonomía, Soberanía Alimentaria y Nutricional</t>
  </si>
  <si>
    <t>Política pública de salud mental</t>
  </si>
  <si>
    <t>Estrategia para la prevención del consumo de sustancias psicoactivas (SPA)</t>
  </si>
  <si>
    <t>Incrementadas las capacidades organizacionales en espacios de participación ciudadana, democracia, democracia digital y la acción comunal, con respecto a las priorizadas por los responsables</t>
  </si>
  <si>
    <t>Unidades de vivienda construidas</t>
  </si>
  <si>
    <t>N.º. Proyectos</t>
  </si>
  <si>
    <t>Nuevas unidades de vivienda construidas</t>
  </si>
  <si>
    <t>Proyectos de unidades de vivienda  gestionados</t>
  </si>
  <si>
    <t>Construcción en sitio propio  de soluciones de vivienda</t>
  </si>
  <si>
    <t>Unidades de viviendas construidas</t>
  </si>
  <si>
    <t>Unidades de vivienda subsidiadas con permanencia</t>
  </si>
  <si>
    <t>Política pública agropecuaria del sector rural payanés formulada y presentada</t>
  </si>
  <si>
    <t>Iniciativas apoyadas en procesos de incubación empresarial con enfoque diferencial y étnico.</t>
  </si>
  <si>
    <t>Empresas con procesos de aceleración empresarial implementados con enfoque diferencial y étnico.</t>
  </si>
  <si>
    <t>Emprendimientos de jóvenes,  mujeres y población vulnerable con enfoque diferencial y étnico apoyados</t>
  </si>
  <si>
    <t>Programas de formación deportiva para niños, niñas, adolescentes y jóvenes con enfoque diferencial operando en las 9 comunas y veredas</t>
  </si>
  <si>
    <t>Estrategias de prevención a casos de violencias basadas en género, con enfoque diferencial y étnico hacia las mujeres de todas las edades, implementada</t>
  </si>
  <si>
    <t>Garantizar la prevención y la protección a la Mujeres víctimas de violencias basadas en género con enfoque diferencial y étnico</t>
  </si>
  <si>
    <t>Acueductos rurales</t>
  </si>
  <si>
    <t>Diagnóstico de acueductos rurales realizado</t>
  </si>
  <si>
    <t>Acueductos rurales intervenidos</t>
  </si>
  <si>
    <t>Caracterización socio-familiar de los habitantes de y en calle implementado con enfoque diferencial para la garantía de derechos</t>
  </si>
  <si>
    <t>Centros vida para personas mayores en funcionamiento (urbano y rural)</t>
  </si>
  <si>
    <t>Formulado el diagnostico de necesidades de formación docente</t>
  </si>
  <si>
    <t>Implementado el proceso de capacitación en el Marco del Plan Territorial de  Formación Docente</t>
  </si>
  <si>
    <t>Política pública de discapacidad reformulada, validada y adoptada</t>
  </si>
  <si>
    <t>Servicio de acueducto rural fortalecido</t>
  </si>
  <si>
    <t xml:space="preserve">N° de acueductos optimizados </t>
  </si>
  <si>
    <t>Estudios y diseños para bienes inmuebles y/o escenarios deportivos (estadio y pista de BMX) y/o culturales realizado (prefactibilidad y/o factibilidad y/o diseños en fase III)</t>
  </si>
  <si>
    <t>Población con acceso a espacios culturales en las zonas urbana y rural</t>
  </si>
  <si>
    <t>Plan Decenal de Cultura formulado y presentado</t>
  </si>
  <si>
    <t>Plan Decenal de Cultura implementado</t>
  </si>
  <si>
    <r>
      <t xml:space="preserve">Implementar el modelo integrado de planeación y gestión-MIPG, en virtud de la </t>
    </r>
    <r>
      <rPr>
        <b/>
        <sz val="10"/>
        <color theme="1"/>
        <rFont val="Arial"/>
        <family val="2"/>
      </rPr>
      <t>LEY</t>
    </r>
    <r>
      <rPr>
        <sz val="10"/>
        <color theme="1"/>
        <rFont val="Arial"/>
        <family val="2"/>
      </rPr>
      <t xml:space="preserve"> </t>
    </r>
    <r>
      <rPr>
        <b/>
        <sz val="10"/>
        <color theme="1"/>
        <rFont val="Arial"/>
        <family val="2"/>
      </rPr>
      <t>1753</t>
    </r>
    <r>
      <rPr>
        <sz val="10"/>
        <color theme="1"/>
        <rFont val="Arial"/>
        <family val="2"/>
      </rPr>
      <t xml:space="preserve"> de 09/06/2015.</t>
    </r>
  </si>
  <si>
    <t>CÓDIGO PP</t>
  </si>
  <si>
    <t>PROGRAMA
PRESUPUESTAL (PP)</t>
  </si>
  <si>
    <t>Calidad, cobertura y fortalecimiento de la educación inicial, prescolar, básica y media</t>
  </si>
  <si>
    <t>Salud pública</t>
  </si>
  <si>
    <t>Prestación de servicios de salud</t>
  </si>
  <si>
    <t>Fomento a la recreación, la actividad física y el deporte</t>
  </si>
  <si>
    <t>Formación y preparación de deportistas</t>
  </si>
  <si>
    <t>Promoción y acceso efectivo a procesos culturales y artísticos</t>
  </si>
  <si>
    <t xml:space="preserve">Gestión, protección y salvaguardia del patrimonio cultural colombiano </t>
  </si>
  <si>
    <t>Desarrollo Integral de Niños, Niñas, Adolescentes y sus Familias</t>
  </si>
  <si>
    <t>Atención integral de población en situación permanente de desprotección social y/o familiar</t>
  </si>
  <si>
    <t>Inclusión social y productiva para la población en situación de vulnerabilidad</t>
  </si>
  <si>
    <t xml:space="preserve">Acceso de la población a los servicios de agua potable y saneamiento básico </t>
  </si>
  <si>
    <t xml:space="preserve">Acceso a soluciones de vivienda </t>
  </si>
  <si>
    <t>Participación ciudadana y política y respeto por los derechos humanos y diversidad de creencias</t>
  </si>
  <si>
    <t>Atención, asistencia y reparación integral a las víctimas</t>
  </si>
  <si>
    <t>Sistema penitenciario y carcelario en el marco de los derechos humanos</t>
  </si>
  <si>
    <t>Fortalecimiento de la convivencia y la seguridad ciudadana</t>
  </si>
  <si>
    <t>Promoción al acceso a la justicia</t>
  </si>
  <si>
    <t>Fortalecimiento de la gestión y dirección de la administración pública territorial</t>
  </si>
  <si>
    <t>Infraestructura red vial regional</t>
  </si>
  <si>
    <t>Infraestructura productiva y comercialización</t>
  </si>
  <si>
    <t xml:space="preserve">Consolidación productiva del sector de energía eléctrica  </t>
  </si>
  <si>
    <t>Seguridad de Transporte</t>
  </si>
  <si>
    <t>Infraestructura y servicios de logística de transporte</t>
  </si>
  <si>
    <t>Inclusión productiva de pequeños productiva de pequeños productores rurales</t>
  </si>
  <si>
    <t>Generación y formalización del empleo</t>
  </si>
  <si>
    <t>Fomento de la investigación, desarrollo tecnológico e innovación del sector trabajo</t>
  </si>
  <si>
    <t>Productividad y competitividad de las empresas colombianas</t>
  </si>
  <si>
    <t>Prevención y atención de desastres y emergencias.</t>
  </si>
  <si>
    <t>Gestión del cambio climático para un desarrollo bajo en carbono y resiliente al clima</t>
  </si>
  <si>
    <t>Conservación de la biodiversidad y sus servicios ecosistémicos</t>
  </si>
  <si>
    <t>Consolidación productiva del sector minero</t>
  </si>
  <si>
    <t>O401</t>
  </si>
  <si>
    <t>O402</t>
  </si>
  <si>
    <t>Levantamiento y actualización de información estadística de calidad</t>
  </si>
  <si>
    <t>Levantamiento, actualización, y acceso a información geográfica y cartográfica</t>
  </si>
  <si>
    <t>Ordenamiento territorial y desarrollo urbano</t>
  </si>
  <si>
    <t>Fomento del desarrollo de aplicaciones, software y contenidos para impulsar la apropiación de las Tecnologías de la Información y las Comunicaciones (TIC)</t>
  </si>
  <si>
    <t>O404</t>
  </si>
  <si>
    <t>Acceso y actualización de la información catastral: incluye la estandarización y la optimización de los procesos catastrales en busca de un catastro multipropósito, automatizado y moderno, el cual almacene registros descriptivos y gráficos de su realidad física (interrelación catastro-registro).</t>
  </si>
  <si>
    <t>N° de planes formulados</t>
  </si>
  <si>
    <t>RESPONSABLE</t>
  </si>
  <si>
    <t xml:space="preserve">Educación inicial en el marco de la atención integral fortalecido </t>
  </si>
  <si>
    <t>Fortalecimiento de la innovación educativa con el proceso de innovación educativa enfocada a la ciencia la tecnología y las matemáticas STEIM</t>
  </si>
  <si>
    <t>Catedra de emprendimiento y la enseñanza de una segunda lengua en las I.E. promovidas para la competitividad</t>
  </si>
  <si>
    <t>Plan de lectura y escritura fortalecido</t>
  </si>
  <si>
    <t xml:space="preserve">Fortalecimiento de iniciativas de investigación y experiencias significativas en las I.E. del municipio </t>
  </si>
  <si>
    <t>Acceso al sistema educativo incluyente fortalecido</t>
  </si>
  <si>
    <t>Implementación de modelos flexibles favorables a la población en condiciones de vulnerabilidad</t>
  </si>
  <si>
    <t>Gobernanza para la protección animal</t>
  </si>
  <si>
    <t>Política pública formulada y presentada</t>
  </si>
  <si>
    <t>Deportistas locales apoyados por año</t>
  </si>
  <si>
    <t>Población realizando actividad física en su tiempo libre con respecto a las priorización</t>
  </si>
  <si>
    <t>N.º de prácticas realizadas  semestralmente</t>
  </si>
  <si>
    <t>Estrategia de atención integral para las primera infancia del municipio de Popayán</t>
  </si>
  <si>
    <t>Estrategia de atención integral a las familias vulnerables y en riesgo social de Popayán: Popayán incluyente</t>
  </si>
  <si>
    <t>Asuntos Étnicos  y campesinos de Popayán</t>
  </si>
  <si>
    <r>
      <t>Estrategia</t>
    </r>
    <r>
      <rPr>
        <b/>
        <sz val="10"/>
        <rFont val="Arial"/>
        <family val="2"/>
      </rPr>
      <t xml:space="preserve"> de reconocimiento y garantía de derechos de la población campesina apoyada</t>
    </r>
  </si>
  <si>
    <t>% de personas atendidas con respecto a la priorización de las Secretarías en el PDM</t>
  </si>
  <si>
    <t>% de personas mayores atendidas</t>
  </si>
  <si>
    <t>Personas adultos mayores priorizadas y atendidas con respecto a la priorización de las Secretarías responsables</t>
  </si>
  <si>
    <t>N.º de centros vida satélites habilitados (urbano y rural)</t>
  </si>
  <si>
    <t>Continuidad en el servicio de Acueducto garantizada</t>
  </si>
  <si>
    <t>Uniades de Vivienda de interés social gestionada</t>
  </si>
  <si>
    <t>Vivienda nueva</t>
  </si>
  <si>
    <t>Legalización de asentamientos que cumplan las condiciones urbanísticas y técnicas</t>
  </si>
  <si>
    <t>N.º de proyectos</t>
  </si>
  <si>
    <t>Prevención y atención de violencias basadas en género y territorios seguros para mujeres de todas las edades</t>
  </si>
  <si>
    <t>% de mujeres elegidas en  cargos de elección Popular  en el municipio de Popayán</t>
  </si>
  <si>
    <t>Institucionalizado el enfoque de género de la Administración Municipal</t>
  </si>
  <si>
    <t>39 Mujeres individuales.
4 iniciativas asociativas</t>
  </si>
  <si>
    <t>Seguridad y convivencia ciudadana fortalecida</t>
  </si>
  <si>
    <t>Km de vías intervenidos</t>
  </si>
  <si>
    <t>Rehabilitación de escenarios deportivos y/o culturales</t>
  </si>
  <si>
    <t>Estrategia integral de cultura ciudadana , seguridad vial y ambiental implementada</t>
  </si>
  <si>
    <t>Estrategia de cultura ciudadana y apropiación del SETP - Popayán por parte de los habitantes del municipio</t>
  </si>
  <si>
    <r>
      <t xml:space="preserve">Estrategias de adaptación y mitigación de cambio climático  contextualizadas a las cadenas productivas locales </t>
    </r>
    <r>
      <rPr>
        <sz val="10"/>
        <color rgb="FFFF0000"/>
        <rFont val="Arial"/>
        <family val="2"/>
      </rPr>
      <t>diseñadas</t>
    </r>
  </si>
  <si>
    <r>
      <t>Estrategia de difusión para el acceso a iniciativas  de apoyo al sector productivo rural i</t>
    </r>
    <r>
      <rPr>
        <sz val="10"/>
        <color rgb="FFFF0000"/>
        <rFont val="Arial"/>
        <family val="2"/>
      </rPr>
      <t>mplementada</t>
    </r>
  </si>
  <si>
    <t>N° de políticas públicas formulada y presentada</t>
  </si>
  <si>
    <r>
      <t xml:space="preserve">Fortalecimiento de mercados campesinos locales </t>
    </r>
    <r>
      <rPr>
        <sz val="10"/>
        <color rgb="FFFF0000"/>
        <rFont val="Arial"/>
        <family val="2"/>
      </rPr>
      <t>implementado</t>
    </r>
  </si>
  <si>
    <t>Mejoramiento de oportunidades para la población desempleada del municipio de Popayán.</t>
  </si>
  <si>
    <t>Modelo Publico Privado para la Inversión Cultural y turística del municipio con base en modelos ya establecidos como BURÓ o INVES creado.</t>
  </si>
  <si>
    <t xml:space="preserve">Convenios de aseguramiento para proteger familias ubicadas en zonas de riesgo. </t>
  </si>
  <si>
    <t>Comunidad participando en actividades ambientales</t>
  </si>
  <si>
    <t>Instrumentos de planificación,  gestión y financiación del territorio en aplicación (Plusvalia, valorización, Banco de Tierras, Unidades de actuación urbanistica)</t>
  </si>
  <si>
    <t>Recuperación del patrimonio material e inmaterial del territorio.  (historico, ambiental y Cultural)</t>
  </si>
  <si>
    <t>Nº de alianzas constituidas</t>
  </si>
  <si>
    <t>Sistema de seguridad y salud en el trabajo implementado</t>
  </si>
  <si>
    <t>Gestión jurídica del municipio</t>
  </si>
  <si>
    <t>Catastro multipropósito -Implementado fase I</t>
  </si>
  <si>
    <t>No.informes presentados por año</t>
  </si>
  <si>
    <t>Proyecto cobertura Internet Veredal Popayán implementado</t>
  </si>
  <si>
    <t>Popayan Territorio Inteligente</t>
  </si>
  <si>
    <t xml:space="preserve">Cobertura Internet Veredal Popayán </t>
  </si>
  <si>
    <t>Proyecto Popayán Territorio Inteligente  implementado</t>
  </si>
  <si>
    <t>Proyecto ampliación de cobertura emtel 10000 implementado</t>
  </si>
  <si>
    <t xml:space="preserve">No de clientes GPON incrementados </t>
  </si>
  <si>
    <t>No de unidades de comunicación Estrategica Municipal creada y fortalecida</t>
  </si>
  <si>
    <t>Unidad de comunicación Estategica Municipal  creada y fortalecida</t>
  </si>
  <si>
    <t>Plan estratégico de comunicación e información</t>
  </si>
  <si>
    <t>Plan estratégico de comunicación  interno implementado</t>
  </si>
  <si>
    <t>Plan estratégico de comunicación externo implementado</t>
  </si>
  <si>
    <t>SECRETARIA DE EDUCACION</t>
  </si>
  <si>
    <t>SECRETARIA DE SALUD</t>
  </si>
  <si>
    <t>SECRETARIA DE SALUD
SECRETARIA DE LA MUJER
SECRETARIA DE EDUCACION</t>
  </si>
  <si>
    <t>SECRETARIA DE SALUD
SECRETARIA DE LA MUJER
SECRETARIA DE EDUCACION
SECRETARIA DE GOBIERNO
SECRETAIA DE DEPORTE Y CULTURA</t>
  </si>
  <si>
    <t>SECRETARIA DE SALUD
SECRETARIA DE GOBIERNO
SECRETARIA DE LA MUJER
SECRETARIA DE DEPORTE Y CULTURA
SECRETARIA DE DESARROLLO AGROAMBIENTAL Y FOMENTO ECONOMICO DAFE
OFICINA GESTION DEL RIESGO</t>
  </si>
  <si>
    <t>SECRETARIA DE SALUD
SECRETARIA DE GOBIERNO
SECRETARIA DE LA MUJER
SECRETARIA DE DEPORTE Y CULTURA
SECRETARIA DE DESARROLLO AGROAMBIENTAL Y FOMENTO ECONOMICO DAFE</t>
  </si>
  <si>
    <t>SECRETARIA DE SALUD
SECRETARIA DE TRANSITO Y TRANSPORTE
SECRETAROA DE EDUCACION
SECRETARIA DE GOBIERNO</t>
  </si>
  <si>
    <t>SECRETARIA DE DEPORTE Y CULTURA</t>
  </si>
  <si>
    <t>SECRETARIA DE DEPORTE Y CULTURA
SECRETARIA GENERAL
SECRETARIA DE INFRAESTRUCTURA</t>
  </si>
  <si>
    <t>SECRETARIA DE DEPORTE Y CULTURA
SECRETARIA DE SALUD</t>
  </si>
  <si>
    <t>SECRETARIA DE DEPORTE Y CULTURA
SECRETARIA DE DESARROLLO AGROAMBIENTAL Y FOMENTO ECONOMICO DAFE</t>
  </si>
  <si>
    <t>SECRETARIA DE GOBIERNO</t>
  </si>
  <si>
    <t>SECRETARIA DE GOBIERNO
SECRETARIA DE EDUCACION
SECRETARIA DE SALUD
SECRETARIA DE DEPORTE Y CULTURA
SECRETARIA DE INFRAESTRUCTURA
SECRETARIA DE LA MUJER
SECRETARIA DE DESARROLLO 
SECRETARIA DE PLANEACION
AGROAMBIENTAL Y FOMENTO ECONOMICO DAFE</t>
  </si>
  <si>
    <t>SECRETARIA DE LA MUJER
SECRETARIA DE PLANEACION
SECRETARIA DE DESARROLLO AGROAMBIENTAL Y FOMENTO ECONOMICO DAFE</t>
  </si>
  <si>
    <t>SECRETARIA DE GOBIERNO
SECRETARIA DE EDUCACION
SECRETARIA DE SALUD
SECRETARIA DE DEPORTE Y CULTURA
SECRETARIA DE INFRAESTRUCTURA
SECRETARIA DE LA MUJER
SECRETARIA DE PLANEACION
SECRETARIA DE DESARROLLO AGROAMBIENTAL Y FOMENTO ECONOMICO DAFE</t>
  </si>
  <si>
    <t>SECRETARIA DE GOBIERNO
SECRETARIA DE EDUCACION</t>
  </si>
  <si>
    <t>SECRETARIA DE DESARROLLO AGROAMBIENTAL Y FOMENTO ECONOMICO DAFE</t>
  </si>
  <si>
    <t>SECRETARIA DE GOBIERNO
SECRETARIA DE SALUD
SECRETARIA DE EDUCACION
SECRETARIA DE DEPORTE Y CULTURA
SECRETARIA DE INFRAESTRUCTURA
SECRETARIA DE DESARROLLO AGROAMBIENTAL Y FOMENTO ECONOMICO DAFE
SECRETARIA DE PLANEACION
SECRETARIA DE LA MUJER</t>
  </si>
  <si>
    <t>SECRETARIA DE SALUD
SECRETARIA DE GOBIERNO
SECRETARIA DE DEPORTE Y CULTURA
SECRETARIA DE EDUCACION
SECRETARIA DE DESARROLLO AGROAMBIENTAL Y FOMENTO ECONOMICO DAFE
SECRETARIA DE PLANEACION
SECRETARIA GENERAL
SECRETARIA DE LA MUJER
SECRETARIA DE INFRAESTRUCTURA
SECRETARIA DE TRANSITO Y TRANSPORTE
OFICINA ASESORA GESTION DEL RIESGO</t>
  </si>
  <si>
    <t>SECRETARIA DE SALUD
SECRETARIA DE GOBIERNO
SECRETARIA DE DEPORTE Y CULTURA
SECRETARIA DE EDUCACION
SECRETARIA DE DESARROLLO AGROAMBIENTAL Y FOMENTO ECONOMICO DAFE
SECRETARIA DE PLANEACION
SECRETARIA GENERAL
SECRETARIA DE LA MUJER</t>
  </si>
  <si>
    <t>ACUEDUCTO Y ALCANTARILLADO DE POPAYAN</t>
  </si>
  <si>
    <t>SECRETARIA DE INFRAESTRUCTURA</t>
  </si>
  <si>
    <t>SECRETARIA DE INFRAESTRUCTURA
CONSTRUCTORES
ALIANZAS FIDUCIARIAS</t>
  </si>
  <si>
    <t>SECRETARIA DE INFRAESTRUCTURA
SECRETARIA DE PLANEACION</t>
  </si>
  <si>
    <t>SECRETARIA DE INFRAESTRUCTURA
OFICINA ASESORA GESTION DEL RIESGO</t>
  </si>
  <si>
    <t xml:space="preserve">SECRETARIA DE INFRAESTRUCTURA
SECRETARIA DE GOBIERNO
SECRETARIA DE PLANEACION
OFICINA ASESORA DE GESTION DEL RIESGO
</t>
  </si>
  <si>
    <t xml:space="preserve">SECRETARIA DE LA MUJER
SECRETARIA DE SALUD
SECRETARIA DE GOBIERNO
SECRETARIA DE PLANEACION
SECRETARIA GENERAL
SECRETARIA DE INFRAESTRUCTURA
SECRETARIA DE TRANSITO Y TRANSPORTE
MOVILIDAD FUTURA
</t>
  </si>
  <si>
    <t xml:space="preserve">SECRETARIA DE LA MUJER
SECRETARIA DE SALUD
SECRETARIA DE GOBIERNO
SECRETARIA DE PLANEACION
SECRETARIA GENERAL
SECRETARIA DE INFRAESTRUCTURA
SECRETARIA DE TRANSITO Y TRANSPORTE
MOVILIDAD FUTURA
</t>
  </si>
  <si>
    <t>SECRETARIA DE LA MUJER
SECRETARIA DE GOBIERNO</t>
  </si>
  <si>
    <t>SECRETARIA DE LA MUJER
SECRETARIA DE SALUD
SECRETARIA DE GOBIERNO
SECRETARIA DE DEPORTE Y CULTURA
SECRETARIA DE EDUCACION
SECRETARIA DE DESARROLLO AGROAMBIENTAL Y FOMENTO ECONOMICO DAFE
SECRETARIA DE PLANEACION
SECRETARIA GENERAL
SECRETARIA DE TRANSITO Y TRANSPORTE
SECRETARIA DE INFRAESTRUCTURA</t>
  </si>
  <si>
    <t>SECRETARIA DE LA MUJER
SECRETARIA DE SALUD
SECRETARIA DE GOBIERNO
SECRETARIA DE DEPORTE Y CULTURA
SECRETARIA DE EDUCACION
SECRETARIA DE DESARROLLO AGROAMBIENTAL Y FOMENTO ECONOMICO DAFE
SECRETARIA DE PLANEACION
SECRETARIA GEERAL
SECRETARIA DE TRANSITO Y TRANSPORTE
SECRETARIA DE INFRAESTRUCTURA</t>
  </si>
  <si>
    <t>SECRETARIA DE LA MUJER
SECRETARIA DE DESARROLLO AGROAMBIENTAL Y FOMENTO ECONOMICO DAFE
SECRETARIA DE PLANEACION</t>
  </si>
  <si>
    <t>SECRETARIA DE GOBIERNO
SECRETARIA DE EDUCACION
SECRETARIA DE SALUD
SECRETARIA DE DEPORTE Y CULTURA</t>
  </si>
  <si>
    <t xml:space="preserve">SECRETARIA DE INFRAESTRUCTURA
SECRETARIA DE LA MUJER
SECRETARIA DE PLANEACION
SECRETARIA DE DESARROLLO AGROAMBIENTAL Y FOMENTO ECONOMICO DAFE
</t>
  </si>
  <si>
    <t>SECRETARIA DE GOBIERNO
SECRETARIA DE LA MUJER
SECRETARIA DE SALUD
SECRETARIA DE EDUCACION
SECRETARIA DE  INFRAESTRUCTURA
SECRETARIA GENERAL
SECRETARIA DE PLANEACION
SECRETARIA DE DESARROLLO AGROAMBIENTA Y FOMENTO ECONOMICO DAFE
SECREARIA DE TRANSITO Y TRANSPORTE</t>
  </si>
  <si>
    <t>SECRETARIA DE GOBIERNO
SECRETARIA DE EDUCACION
SECRETARIA DE SALUD
SECRETARIA DE DEPORTE Y CULTURA
SECRETARIA DE  INFRAESTRUCTURA
SECRETARIA DE LA MUJER
SECRETARIA DE PLANEACION
SECRETARIA DE DESARROLLO AGROAMBIENTA Y FOMENTO ECONOMICO DAFE</t>
  </si>
  <si>
    <t>SECRETARIA DE GOBIERNO
SECRETARIA DE EDUCACION
SECRETARIA DE SALUD
SECRETARIA DE DEPORTE Y CULTURA
SECRETARIA DE INFRAESTRUCTURA
SECRETARIA DE LA MUJER
SECRETARIA DESARROLLO AGROAMBIENTAL Y FOMENTO ECONOMICO DAFE
SECRETARIA DE PLANEACION</t>
  </si>
  <si>
    <t>SECRETARIA DE GOBIERNO
SECRETARIA SALUD
SECRETARIA GENERAL
SECRETARIA DE INFRAESTRUCTURA
SECRETARIA DE PLANEACION
SECRETARIA DESARROLLO AGROAMBIENTAL Y FOMENTO ECONOMICO DAFE
ENTIDADES DESCENTRALIZADAS</t>
  </si>
  <si>
    <t>SECRETARIA DE GOBIERNO
SECRETARIA GENERAL</t>
  </si>
  <si>
    <t>SECRETARIA DE GOBIERNO
OFICINA DE PRENSA</t>
  </si>
  <si>
    <t>SECRETARIA DE GOBIERNO
SECRETARIA DE EDUCACION
SECRETARIA DE SALUD
SECRETARIA DE DEPORTE Y CULTURA
SECRETARIA DE INFRAESTRUCTURA
SECRETARIA DE LA MUJER
SECRETARIA DE PLANEACION
SECRETARIA DESARROLLO AGROAMBIENTAL Y FOMENTO ECONOMICO DAFE
SECRETARIA GENERAL
OFICINA ASESORA DE GESTION DEL RIESGO OAGR
OFICINA TICS</t>
  </si>
  <si>
    <t>SECRETARIA DE GOBIERNO
SECRETARIA DE EDUCACION
SECRETARIA DE INFRAESTRUCTURA
SECRETARIA DE HACIENDA
SECRETARIA DESARROLLO AGROAMBIENTAL Y FOMENTO ECONOMICO DAFE
OFICINA TICS</t>
  </si>
  <si>
    <t>SECRETARIA DE GOBIERNO
SECRETARIA DE EDUCACION
SECRETARIA DE SALUD
SECRETARIA DE DEPORTE Y CULTURA
SECRETARIA DE INFRAESTRUCTURA
SECRETARIA DE LA MUJER
SECRETARIA DE PLANEACION
SECRETARIA DESARROLLO AGROAMBIENTAL Y FOMENTO ECONOMICO DAFE</t>
  </si>
  <si>
    <t>SECRETARIA DE INFRAESTRUCTURA
SECRETARIA DE HACIENDA
OFICINA JURIDICA</t>
  </si>
  <si>
    <t>SECRETARIA DE INFRAESTRUCTURA
SECRETARIA DE HACIENDA
SECRETARIA GENERAL 
OFICINA JURIDICA</t>
  </si>
  <si>
    <t>SECRETARIA DE INFRAESTRUCTURA
JAC</t>
  </si>
  <si>
    <t>SECRETARIA DE INFRAESTRUCTURA
(INTERVENTORIA EXTERNA)</t>
  </si>
  <si>
    <t>SECRETARIA DE INFRAESTRUCTURA
SECRETARIA DE HACIENDA
SAG</t>
  </si>
  <si>
    <t>SECRETARIA DE INFRAESTRUCTURA
CONCESIONARIO AUTOMOTOR
INTERVENTORIA EXTERNA ALUMBRADO PUBLICO</t>
  </si>
  <si>
    <t>SECRETARIA DE INFRAESTRUCTURA
SECRETARIA GENERAL</t>
  </si>
  <si>
    <t>SECRETARIA DE INFRAESTRUCTURA
SECRETARIA DE PLANEACION
SECRETARIA DE HACIENDA</t>
  </si>
  <si>
    <t>SECRETARIA DE TRANSITO Y TRANSPORTE</t>
  </si>
  <si>
    <t>MOVILIDAD FUTURA</t>
  </si>
  <si>
    <t>SECRETARIA DE DESARROLLO AGROAMBIENTAL  DAFE</t>
  </si>
  <si>
    <t>SECRETARIA DE DESARROLLO AGROAMBIENTAL  DAFE
SECRETARIA DE DEPORTE Y CULTURA</t>
  </si>
  <si>
    <t xml:space="preserve">  OFICINA ASESORA DE GESTION DEL RIESGO OAGR</t>
  </si>
  <si>
    <t>SECRETARIA DE PLANEACION</t>
  </si>
  <si>
    <t>SECRETARIA GENERAL</t>
  </si>
  <si>
    <t>SECRETARIA GENERAL
SECRETARIA DE PLANEACION</t>
  </si>
  <si>
    <t>SECRETARIA GENERAL
SECRETARIA DE PLANEACION
SECRETARIA DE GOBIERNO</t>
  </si>
  <si>
    <t>SECRETARIA GENERAL - OFICINA JURIDICA</t>
  </si>
  <si>
    <t>SECRETARIA DE HACIENDA
SECRETARIA DE PLANEACION</t>
  </si>
  <si>
    <t>SECRETARIA DE HACIENDA</t>
  </si>
  <si>
    <t>SECRETARIA DE HACIENDA
SECRETARIA GENERAL</t>
  </si>
  <si>
    <t>EMTEL S.A. ESP.
SECRETARIA DE PLANEACION
SECRETARIA DE EDUCACION
OFICINA TIC</t>
  </si>
  <si>
    <t>EMTEL S.A. ESP.</t>
  </si>
  <si>
    <t>SECRETARIA GENERAL OFICINA PRENSA</t>
  </si>
  <si>
    <t>SECRETARIA GENERAL
SECRETARIA DE PLANEACION
OFICINA TIC</t>
  </si>
  <si>
    <t>SECRETARIA GENERAL
SECRETARIA DE PLANEACION
OFICINA TIC
EMTEL S.A. ESP</t>
  </si>
  <si>
    <t>SECRETARIA DESARROLLO AGROAMBIENTAL Y FOMENTO ECONOMICO DAFE
Proyectos</t>
  </si>
  <si>
    <t>SECRETARIA DE DEPORTE Y CULTURA
SECRETARIA DE GOBIERNO
SECRETARIA DE INFRAESTRUCTURA
SECRETARIA GENERAL</t>
  </si>
  <si>
    <t>SECRETARIA DE GOBIERNO
SECRETARIA DE EDUCACION
SECRETARIA DE SALUD
SECRETARIA DE DEPORTE Y CULTURA
SECRETARIA DE INFRAESTRUCTURA</t>
  </si>
  <si>
    <t>SECRETARIA DE INFRAESTRUCTURA Vivienda</t>
  </si>
  <si>
    <t>SECRETARIA DE  INFRAESTRUCTURA Vivienda
SECRETARIA DE PLANEACION
OFICINA DE PRENSA</t>
  </si>
  <si>
    <t xml:space="preserve">Tasa de Mortalidad por IRA contenida en menores de 5 años </t>
  </si>
  <si>
    <r>
      <t>Bancos de sangre fortalecidos en Popayán.</t>
    </r>
    <r>
      <rPr>
        <u val="double"/>
        <sz val="10"/>
        <rFont val="Arial"/>
        <family val="2"/>
      </rPr>
      <t/>
    </r>
  </si>
  <si>
    <t>Cobertura total de afiliación al SGSSS</t>
  </si>
  <si>
    <t>Plan de acción anual de la Política pública de Seguridad Alimentaria y Nutricional implementado</t>
  </si>
  <si>
    <t>Nº de bibliotecas participantes</t>
  </si>
  <si>
    <t>N° de escenarios intervenidos anualmente</t>
  </si>
  <si>
    <t>Nº de escenarios intervenidos</t>
  </si>
  <si>
    <t xml:space="preserve">Personas con discapacidad con registro activo en el RLCPCD  y cuidadores que acceden a la oferta con respecto a la priorización de las entidades del SND </t>
  </si>
  <si>
    <t>% de personas</t>
  </si>
  <si>
    <t>Apoyo a la población víctima y con enfoque diferencial</t>
  </si>
  <si>
    <t>% de zonas de riesgo efectivamente atendidas</t>
  </si>
  <si>
    <t>Fortalecimiento del Servicio Educativo Rural de Popayán.</t>
  </si>
  <si>
    <t>N° de mercados realizados en el cuatrienio</t>
  </si>
  <si>
    <t>Nº de huertas creadas en el cuatrienio</t>
  </si>
  <si>
    <t xml:space="preserve">Fortalecimiento estratégico para la articulación del desarrollo municipal </t>
  </si>
  <si>
    <t>Cartera Recuperada en cuatrienio 2016-2019</t>
  </si>
  <si>
    <t>PLAN INDICATIVO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</si>
</sst>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40A]\ * #,##0_-;\-[$$-240A]\ * #,##0_-;_-[$$-240A]\ * &quot;-&quot;??_-;_-@_-"/>
    <numFmt numFmtId="165" formatCode="[$$-240A]\ #,##0"/>
    <numFmt numFmtId="166" formatCode="&quot;$&quot;\ #,##0"/>
    <numFmt numFmtId="167" formatCode="0.0%"/>
    <numFmt numFmtId="168" formatCode="_-* #,##0_-;\-* #,##0_-;_-* &quot;-&quot;??_-;_-@_-"/>
    <numFmt numFmtId="169" formatCode="0.0"/>
    <numFmt numFmtId="170" formatCode="_([$$-240A]\ * #,##0_);_([$$-240A]\ * \(#,##0\);_([$$-240A]\ * &quot;-&quot;??_);_(@_)"/>
    <numFmt numFmtId="171" formatCode="_-* #,##0\ _€_-;\-* #,##0\ _€_-;_-* &quot;-&quot;??\ _€_-;_-@_-"/>
    <numFmt numFmtId="172" formatCode="_-[$$-240A]\ * #,##0_-;\-[$$-240A]\ * #,##0_-;_-[$$-240A]\ * &quot;-&quot;??_-;_-@"/>
    <numFmt numFmtId="173" formatCode="_(* #,##0_);_(* \(#,##0\);_(* &quot;-&quot;??_);_(@_)"/>
    <numFmt numFmtId="174" formatCode="&quot;$&quot;\ #,##0.00"/>
  </numFmts>
  <fonts count="44" x14ac:knownFonts="1">
    <font>
      <sz val="11"/>
      <color theme="1"/>
      <name val="Calibri"/>
      <family val="2"/>
      <scheme val="minor"/>
    </font>
    <font>
      <sz val="11"/>
      <color theme="1"/>
      <name val="Calibri"/>
      <family val="2"/>
      <scheme val="minor"/>
    </font>
    <font>
      <sz val="16"/>
      <color rgb="FF000000"/>
      <name val="Calibri"/>
      <family val="2"/>
    </font>
    <font>
      <sz val="11"/>
      <color rgb="FF000000"/>
      <name val="Calibri"/>
      <family val="2"/>
    </font>
    <font>
      <sz val="12"/>
      <color rgb="FF000000"/>
      <name val="Calibri"/>
      <family val="2"/>
    </font>
    <font>
      <b/>
      <sz val="11"/>
      <color rgb="FF000000"/>
      <name val="Calibri"/>
      <family val="2"/>
    </font>
    <font>
      <sz val="10"/>
      <name val="Arial"/>
      <family val="2"/>
    </font>
    <font>
      <sz val="10"/>
      <color rgb="FF000000"/>
      <name val="Arial"/>
      <family val="2"/>
    </font>
    <font>
      <sz val="10"/>
      <color theme="1"/>
      <name val="Arial"/>
      <family val="2"/>
    </font>
    <font>
      <b/>
      <sz val="9"/>
      <color indexed="81"/>
      <name val="Tahoma"/>
      <family val="2"/>
    </font>
    <font>
      <sz val="9"/>
      <color indexed="81"/>
      <name val="Tahoma"/>
      <family val="2"/>
    </font>
    <font>
      <b/>
      <sz val="10"/>
      <color rgb="FF000000"/>
      <name val="Arial"/>
      <family val="2"/>
    </font>
    <font>
      <sz val="10"/>
      <color rgb="FF2F5496"/>
      <name val="Arial"/>
      <family val="2"/>
    </font>
    <font>
      <b/>
      <sz val="10"/>
      <color rgb="FF2F5496"/>
      <name val="Arial"/>
      <family val="2"/>
    </font>
    <font>
      <b/>
      <sz val="10"/>
      <color theme="1"/>
      <name val="Arial"/>
      <family val="2"/>
    </font>
    <font>
      <b/>
      <sz val="10"/>
      <name val="Arial"/>
      <family val="2"/>
    </font>
    <font>
      <sz val="10"/>
      <color rgb="FF000000"/>
      <name val="Arial"/>
      <family val="2"/>
    </font>
    <font>
      <sz val="10"/>
      <name val="Arial"/>
      <family val="2"/>
    </font>
    <font>
      <sz val="11"/>
      <name val="Calibri"/>
      <family val="2"/>
    </font>
    <font>
      <sz val="10"/>
      <color rgb="FF00B0F0"/>
      <name val="Arial"/>
      <family val="2"/>
    </font>
    <font>
      <sz val="11"/>
      <name val="Calibri"/>
      <family val="2"/>
    </font>
    <font>
      <b/>
      <sz val="10"/>
      <color rgb="FF000000"/>
      <name val="Calibri"/>
      <family val="2"/>
    </font>
    <font>
      <sz val="10"/>
      <color theme="1"/>
      <name val="Calibri"/>
      <family val="2"/>
      <scheme val="minor"/>
    </font>
    <font>
      <sz val="10"/>
      <color rgb="FF000000"/>
      <name val="Calibri"/>
      <family val="2"/>
    </font>
    <font>
      <sz val="10"/>
      <name val="Calibri"/>
      <family val="2"/>
    </font>
    <font>
      <b/>
      <sz val="10"/>
      <name val="Calibri"/>
      <family val="2"/>
    </font>
    <font>
      <sz val="11"/>
      <color theme="1"/>
      <name val="Calibri"/>
      <family val="2"/>
    </font>
    <font>
      <b/>
      <sz val="10"/>
      <color rgb="FF000000"/>
      <name val="Arial"/>
      <family val="2"/>
    </font>
    <font>
      <sz val="14"/>
      <color rgb="FF000000"/>
      <name val="Arial"/>
      <family val="2"/>
    </font>
    <font>
      <sz val="8"/>
      <color theme="1"/>
      <name val="Arial"/>
      <family val="2"/>
    </font>
    <font>
      <b/>
      <sz val="10"/>
      <color theme="1"/>
      <name val="Calibri"/>
      <family val="2"/>
      <scheme val="minor"/>
    </font>
    <font>
      <sz val="10"/>
      <name val="Calibri"/>
      <family val="2"/>
      <scheme val="minor"/>
    </font>
    <font>
      <sz val="10"/>
      <color rgb="FF000000"/>
      <name val="Calibri"/>
      <family val="2"/>
      <scheme val="minor"/>
    </font>
    <font>
      <sz val="10"/>
      <color indexed="8"/>
      <name val="Calibri"/>
      <family val="2"/>
      <scheme val="minor"/>
    </font>
    <font>
      <b/>
      <sz val="12"/>
      <color rgb="FF000000"/>
      <name val="Calibri"/>
      <family val="2"/>
    </font>
    <font>
      <b/>
      <sz val="12"/>
      <color theme="1"/>
      <name val="Calibri"/>
      <family val="2"/>
      <scheme val="minor"/>
    </font>
    <font>
      <sz val="10"/>
      <color rgb="FFFF0000"/>
      <name val="Arial"/>
      <family val="2"/>
    </font>
    <font>
      <sz val="10"/>
      <color indexed="8"/>
      <name val="Arial"/>
      <family val="2"/>
    </font>
    <font>
      <sz val="11"/>
      <color theme="1"/>
      <name val="Arial"/>
      <family val="2"/>
    </font>
    <font>
      <sz val="11"/>
      <color rgb="FF000000"/>
      <name val="Arial"/>
      <family val="2"/>
    </font>
    <font>
      <sz val="10"/>
      <color indexed="63"/>
      <name val="Arial"/>
      <family val="2"/>
    </font>
    <font>
      <b/>
      <sz val="10"/>
      <color indexed="8"/>
      <name val="Arial"/>
      <family val="2"/>
    </font>
    <font>
      <sz val="9"/>
      <color theme="1"/>
      <name val="Arial"/>
      <family val="2"/>
    </font>
    <font>
      <u val="double"/>
      <sz val="10"/>
      <name val="Arial"/>
      <family val="2"/>
    </font>
  </fonts>
  <fills count="125">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theme="3" tint="0.79998168889431442"/>
        <bgColor indexed="64"/>
      </patternFill>
    </fill>
    <fill>
      <patternFill patternType="solid">
        <fgColor theme="5" tint="0.79998168889431442"/>
        <bgColor rgb="FFFDE9D9"/>
      </patternFill>
    </fill>
    <fill>
      <patternFill patternType="solid">
        <fgColor theme="5" tint="0.79998168889431442"/>
        <bgColor rgb="FFFFFF00"/>
      </patternFill>
    </fill>
    <fill>
      <patternFill patternType="solid">
        <fgColor theme="5" tint="0.79998168889431442"/>
        <bgColor indexed="64"/>
      </patternFill>
    </fill>
    <fill>
      <patternFill patternType="solid">
        <fgColor theme="9" tint="0.79998168889431442"/>
        <bgColor rgb="FFFDE9D9"/>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bgColor rgb="FFFDE9D9"/>
      </patternFill>
    </fill>
    <fill>
      <patternFill patternType="solid">
        <fgColor theme="0" tint="-0.249977111117893"/>
        <bgColor rgb="FFFDE9D9"/>
      </patternFill>
    </fill>
    <fill>
      <patternFill patternType="solid">
        <fgColor theme="9" tint="0.79998168889431442"/>
        <bgColor indexed="64"/>
      </patternFill>
    </fill>
    <fill>
      <patternFill patternType="solid">
        <fgColor theme="7" tint="0.59999389629810485"/>
        <bgColor rgb="FFB8CCE4"/>
      </patternFill>
    </fill>
    <fill>
      <patternFill patternType="solid">
        <fgColor theme="7" tint="0.59999389629810485"/>
        <bgColor rgb="FFFFFF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5" tint="0.39997558519241921"/>
        <bgColor rgb="FFFABF8F"/>
      </patternFill>
    </fill>
    <fill>
      <patternFill patternType="solid">
        <fgColor theme="5" tint="0.39997558519241921"/>
        <bgColor indexed="64"/>
      </patternFill>
    </fill>
    <fill>
      <patternFill patternType="solid">
        <fgColor theme="9" tint="0.79998168889431442"/>
        <bgColor rgb="FFFFFF00"/>
      </patternFill>
    </fill>
    <fill>
      <patternFill patternType="solid">
        <fgColor theme="4" tint="0.59999389629810485"/>
        <bgColor indexed="64"/>
      </patternFill>
    </fill>
    <fill>
      <patternFill patternType="solid">
        <fgColor theme="4" tint="0.59999389629810485"/>
        <bgColor rgb="FFFFFF00"/>
      </patternFill>
    </fill>
    <fill>
      <patternFill patternType="solid">
        <fgColor rgb="FF00B0F0"/>
        <bgColor rgb="FFE5B8B7"/>
      </patternFill>
    </fill>
    <fill>
      <patternFill patternType="solid">
        <fgColor rgb="FF00B0F0"/>
        <bgColor rgb="FFFFFF00"/>
      </patternFill>
    </fill>
    <fill>
      <patternFill patternType="solid">
        <fgColor theme="8" tint="0.79998168889431442"/>
        <bgColor rgb="FF92CDD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bgColor rgb="FF95B3D7"/>
      </patternFill>
    </fill>
    <fill>
      <patternFill patternType="solid">
        <fgColor theme="4"/>
        <bgColor rgb="FFFFFF00"/>
      </patternFill>
    </fill>
    <fill>
      <patternFill patternType="solid">
        <fgColor theme="4"/>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6"/>
        <bgColor rgb="FF76923C"/>
      </patternFill>
    </fill>
    <fill>
      <patternFill patternType="solid">
        <fgColor theme="6"/>
        <bgColor rgb="FFFFFF00"/>
      </patternFill>
    </fill>
    <fill>
      <patternFill patternType="solid">
        <fgColor theme="6"/>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79998168889431442"/>
        <bgColor rgb="FFFFFF00"/>
      </patternFill>
    </fill>
    <fill>
      <patternFill patternType="solid">
        <fgColor theme="2" tint="-9.9978637043366805E-2"/>
        <bgColor indexed="64"/>
      </patternFill>
    </fill>
    <fill>
      <patternFill patternType="solid">
        <fgColor rgb="FF4472C4"/>
        <bgColor rgb="FF4472C4"/>
      </patternFill>
    </fill>
    <fill>
      <patternFill patternType="solid">
        <fgColor theme="4" tint="0.79998168889431442"/>
        <bgColor rgb="FFFDE9D9"/>
      </patternFill>
    </fill>
    <fill>
      <patternFill patternType="solid">
        <fgColor rgb="FFFF0000"/>
        <bgColor indexed="64"/>
      </patternFill>
    </fill>
    <fill>
      <patternFill patternType="solid">
        <fgColor rgb="FFE2EFD9"/>
        <bgColor rgb="FFE2EFD9"/>
      </patternFill>
    </fill>
    <fill>
      <patternFill patternType="solid">
        <fgColor rgb="FFCCFFFF"/>
        <bgColor rgb="FFCCFFFF"/>
      </patternFill>
    </fill>
    <fill>
      <patternFill patternType="solid">
        <fgColor theme="8" tint="0.79998168889431442"/>
        <bgColor rgb="FFCCFFFF"/>
      </patternFill>
    </fill>
    <fill>
      <patternFill patternType="solid">
        <fgColor theme="9"/>
        <bgColor indexed="64"/>
      </patternFill>
    </fill>
    <fill>
      <patternFill patternType="solid">
        <fgColor theme="4" tint="0.79998168889431442"/>
        <bgColor rgb="FFE2EFD9"/>
      </patternFill>
    </fill>
    <fill>
      <patternFill patternType="solid">
        <fgColor theme="4" tint="0.79998168889431442"/>
        <bgColor rgb="FFD6E3BC"/>
      </patternFill>
    </fill>
    <fill>
      <patternFill patternType="solid">
        <fgColor theme="4" tint="0.79998168889431442"/>
        <bgColor rgb="FF00FF00"/>
      </patternFill>
    </fill>
    <fill>
      <patternFill patternType="solid">
        <fgColor theme="5" tint="0.59999389629810485"/>
        <bgColor indexed="64"/>
      </patternFill>
    </fill>
    <fill>
      <patternFill patternType="solid">
        <fgColor theme="5" tint="0.59999389629810485"/>
        <bgColor rgb="FFFFFF00"/>
      </patternFill>
    </fill>
    <fill>
      <patternFill patternType="solid">
        <fgColor theme="6" tint="0.39997558519241921"/>
        <bgColor rgb="FFFFFF00"/>
      </patternFill>
    </fill>
    <fill>
      <patternFill patternType="solid">
        <fgColor theme="6" tint="0.79998168889431442"/>
        <bgColor indexed="64"/>
      </patternFill>
    </fill>
    <fill>
      <patternFill patternType="solid">
        <fgColor rgb="FF92D050"/>
        <bgColor rgb="FFFABF8F"/>
      </patternFill>
    </fill>
    <fill>
      <patternFill patternType="solid">
        <fgColor rgb="FF92D050"/>
        <bgColor rgb="FFB8CCE4"/>
      </patternFill>
    </fill>
    <fill>
      <patternFill patternType="solid">
        <fgColor rgb="FF92D050"/>
        <bgColor rgb="FFFDE9D9"/>
      </patternFill>
    </fill>
    <fill>
      <patternFill patternType="solid">
        <fgColor rgb="FF92D050"/>
        <bgColor rgb="FFC6D9F0"/>
      </patternFill>
    </fill>
    <fill>
      <patternFill patternType="solid">
        <fgColor theme="8" tint="0.39997558519241921"/>
        <bgColor rgb="FFC6D9F0"/>
      </patternFill>
    </fill>
    <fill>
      <patternFill patternType="solid">
        <fgColor theme="8" tint="0.39997558519241921"/>
        <bgColor rgb="FFFFFF00"/>
      </patternFill>
    </fill>
    <fill>
      <patternFill patternType="solid">
        <fgColor theme="8" tint="0.39997558519241921"/>
        <bgColor indexed="64"/>
      </patternFill>
    </fill>
    <fill>
      <patternFill patternType="solid">
        <fgColor rgb="FF92D050"/>
        <bgColor rgb="FFE5B8B7"/>
      </patternFill>
    </fill>
    <fill>
      <patternFill patternType="solid">
        <fgColor rgb="FF92D050"/>
        <bgColor rgb="FFCCFFFF"/>
      </patternFill>
    </fill>
    <fill>
      <patternFill patternType="solid">
        <fgColor rgb="FF92D050"/>
        <bgColor rgb="FF92CDDC"/>
      </patternFill>
    </fill>
    <fill>
      <patternFill patternType="solid">
        <fgColor theme="2" tint="-9.9978637043366805E-2"/>
        <bgColor rgb="FF9BBB59"/>
      </patternFill>
    </fill>
    <fill>
      <patternFill patternType="solid">
        <fgColor theme="2" tint="-9.9978637043366805E-2"/>
        <bgColor rgb="FFFFFF00"/>
      </patternFill>
    </fill>
    <fill>
      <patternFill patternType="solid">
        <fgColor rgb="FF92D050"/>
        <bgColor rgb="FF9BBB59"/>
      </patternFill>
    </fill>
    <fill>
      <patternFill patternType="solid">
        <fgColor theme="9" tint="0.79998168889431442"/>
        <bgColor rgb="FF95B3D7"/>
      </patternFill>
    </fill>
    <fill>
      <patternFill patternType="solid">
        <fgColor rgb="FF92D050"/>
        <bgColor rgb="FF95B3D7"/>
      </patternFill>
    </fill>
    <fill>
      <patternFill patternType="solid">
        <fgColor theme="5" tint="0.79998168889431442"/>
        <bgColor rgb="FFD99594"/>
      </patternFill>
    </fill>
    <fill>
      <patternFill patternType="solid">
        <fgColor rgb="FF92D050"/>
        <bgColor rgb="FFD99594"/>
      </patternFill>
    </fill>
    <fill>
      <patternFill patternType="solid">
        <fgColor theme="4" tint="0.59999389629810485"/>
        <bgColor rgb="FFD6E3BC"/>
      </patternFill>
    </fill>
    <fill>
      <patternFill patternType="solid">
        <fgColor rgb="FF92D050"/>
        <bgColor rgb="FFD6E3BC"/>
      </patternFill>
    </fill>
    <fill>
      <patternFill patternType="solid">
        <fgColor theme="7" tint="0.59999389629810485"/>
        <bgColor rgb="FF4BACC6"/>
      </patternFill>
    </fill>
    <fill>
      <patternFill patternType="solid">
        <fgColor rgb="FF92D050"/>
        <bgColor rgb="FF4BACC6"/>
      </patternFill>
    </fill>
    <fill>
      <patternFill patternType="solid">
        <fgColor theme="6" tint="0.79998168889431442"/>
        <bgColor rgb="FF7F7F7F"/>
      </patternFill>
    </fill>
    <fill>
      <patternFill patternType="solid">
        <fgColor rgb="FF92D050"/>
        <bgColor rgb="FF7F7F7F"/>
      </patternFill>
    </fill>
    <fill>
      <patternFill patternType="solid">
        <fgColor rgb="FF92D050"/>
        <bgColor rgb="FF76923C"/>
      </patternFill>
    </fill>
    <fill>
      <patternFill patternType="solid">
        <fgColor theme="4" tint="0.59999389629810485"/>
        <bgColor rgb="FF4472C4"/>
      </patternFill>
    </fill>
    <fill>
      <patternFill patternType="solid">
        <fgColor rgb="FF92D050"/>
        <bgColor rgb="FF4472C4"/>
      </patternFill>
    </fill>
    <fill>
      <patternFill patternType="solid">
        <fgColor rgb="FF92D050"/>
        <bgColor rgb="FFC4BD97"/>
      </patternFill>
    </fill>
    <fill>
      <patternFill patternType="solid">
        <fgColor theme="5" tint="0.59999389629810485"/>
        <bgColor rgb="FFC4BD97"/>
      </patternFill>
    </fill>
    <fill>
      <patternFill patternType="solid">
        <fgColor theme="6" tint="0.39997558519241921"/>
        <bgColor rgb="FFFABF8F"/>
      </patternFill>
    </fill>
    <fill>
      <patternFill patternType="solid">
        <fgColor rgb="FF92D050"/>
        <bgColor rgb="FF31859B"/>
      </patternFill>
    </fill>
    <fill>
      <patternFill patternType="solid">
        <fgColor theme="9" tint="0.39997558519241921"/>
        <bgColor rgb="FF31859B"/>
      </patternFill>
    </fill>
    <fill>
      <patternFill patternType="solid">
        <fgColor theme="9" tint="0.39997558519241921"/>
        <bgColor rgb="FFFFFF00"/>
      </patternFill>
    </fill>
    <fill>
      <patternFill patternType="solid">
        <fgColor theme="4" tint="0.59999389629810485"/>
        <bgColor rgb="FFCCFFFF"/>
      </patternFill>
    </fill>
    <fill>
      <patternFill patternType="solid">
        <fgColor theme="7" tint="0.59999389629810485"/>
        <bgColor rgb="FFCCFFFF"/>
      </patternFill>
    </fill>
    <fill>
      <patternFill patternType="solid">
        <fgColor theme="7" tint="0.59999389629810485"/>
        <bgColor rgb="FFD6DCE4"/>
      </patternFill>
    </fill>
    <fill>
      <patternFill patternType="solid">
        <fgColor theme="7" tint="0.39997558519241921"/>
        <bgColor rgb="FF95B3D7"/>
      </patternFill>
    </fill>
    <fill>
      <patternFill patternType="solid">
        <fgColor theme="7" tint="0.39997558519241921"/>
        <bgColor rgb="FFFF0000"/>
      </patternFill>
    </fill>
    <fill>
      <patternFill patternType="solid">
        <fgColor theme="6" tint="0.39997558519241921"/>
        <bgColor rgb="FF9BBB59"/>
      </patternFill>
    </fill>
    <fill>
      <patternFill patternType="solid">
        <fgColor theme="7" tint="0.39997558519241921"/>
        <bgColor rgb="FFFABF8F"/>
      </patternFill>
    </fill>
    <fill>
      <patternFill patternType="solid">
        <fgColor theme="7" tint="0.39997558519241921"/>
        <bgColor rgb="FF000000"/>
      </patternFill>
    </fill>
    <fill>
      <patternFill patternType="solid">
        <fgColor theme="7" tint="0.39997558519241921"/>
        <bgColor rgb="FFFFFF00"/>
      </patternFill>
    </fill>
    <fill>
      <patternFill patternType="solid">
        <fgColor theme="4" tint="0.59999389629810485"/>
        <bgColor rgb="FF92CDDC"/>
      </patternFill>
    </fill>
    <fill>
      <patternFill patternType="solid">
        <fgColor rgb="FFFFFF00"/>
        <bgColor rgb="FF95B3D7"/>
      </patternFill>
    </fill>
    <fill>
      <patternFill patternType="solid">
        <fgColor rgb="FFFFFF00"/>
        <bgColor rgb="FFFFFF00"/>
      </patternFill>
    </fill>
    <fill>
      <patternFill patternType="solid">
        <fgColor rgb="FFFFFF00"/>
        <bgColor rgb="FFFDE9D9"/>
      </patternFill>
    </fill>
    <fill>
      <patternFill patternType="solid">
        <fgColor rgb="FFFFFF00"/>
        <bgColor rgb="FFB8CCE4"/>
      </patternFill>
    </fill>
    <fill>
      <patternFill patternType="solid">
        <fgColor rgb="FFFFFF00"/>
        <bgColor rgb="FFFABF8F"/>
      </patternFill>
    </fill>
    <fill>
      <patternFill patternType="solid">
        <fgColor rgb="FFFFFF00"/>
        <bgColor rgb="FFE2EFD9"/>
      </patternFill>
    </fill>
    <fill>
      <patternFill patternType="solid">
        <fgColor rgb="FFFFFF00"/>
        <bgColor rgb="FFD6E3BC"/>
      </patternFill>
    </fill>
    <fill>
      <patternFill patternType="solid">
        <fgColor rgb="FFFFFF00"/>
        <bgColor rgb="FFE5B8B7"/>
      </patternFill>
    </fill>
    <fill>
      <patternFill patternType="solid">
        <fgColor rgb="FFFFFF00"/>
        <bgColor rgb="FF31859B"/>
      </patternFill>
    </fill>
    <fill>
      <patternFill patternType="solid">
        <fgColor rgb="FFFFFF00"/>
        <bgColor rgb="FFCCFFFF"/>
      </patternFill>
    </fill>
    <fill>
      <patternFill patternType="solid">
        <fgColor rgb="FFFFFF00"/>
        <bgColor rgb="FFC4BD97"/>
      </patternFill>
    </fill>
    <fill>
      <patternFill patternType="solid">
        <fgColor rgb="FFFFFF00"/>
        <bgColor rgb="FF9BBB59"/>
      </patternFill>
    </fill>
    <fill>
      <patternFill patternType="solid">
        <fgColor rgb="FFFFFF00"/>
        <bgColor rgb="FFD99594"/>
      </patternFill>
    </fill>
    <fill>
      <patternFill patternType="solid">
        <fgColor rgb="FFFFFF00"/>
        <bgColor rgb="FF4BACC6"/>
      </patternFill>
    </fill>
    <fill>
      <patternFill patternType="solid">
        <fgColor rgb="FFFFFF00"/>
        <bgColor rgb="FF7F7F7F"/>
      </patternFill>
    </fill>
    <fill>
      <patternFill patternType="solid">
        <fgColor rgb="FFFFFF00"/>
        <bgColor rgb="FF76923C"/>
      </patternFill>
    </fill>
    <fill>
      <patternFill patternType="solid">
        <fgColor rgb="FFFFFF00"/>
        <bgColor rgb="FF4472C4"/>
      </patternFill>
    </fill>
    <fill>
      <patternFill patternType="solid">
        <fgColor rgb="FFFFFF00"/>
        <bgColor rgb="FFC6D9F0"/>
      </patternFill>
    </fill>
    <fill>
      <patternFill patternType="solid">
        <fgColor rgb="FFFF0000"/>
        <bgColor rgb="FFE2EFD9"/>
      </patternFill>
    </fill>
    <fill>
      <patternFill patternType="solid">
        <fgColor theme="2"/>
        <bgColor indexed="64"/>
      </patternFill>
    </fill>
  </fills>
  <borders count="9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medium">
        <color rgb="FF000000"/>
      </bottom>
      <diagonal/>
    </border>
    <border>
      <left style="thin">
        <color rgb="FF000000"/>
      </left>
      <right/>
      <top style="thick">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style="thin">
        <color rgb="FF000000"/>
      </left>
      <right/>
      <top style="thin">
        <color indexed="64"/>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indexed="64"/>
      </right>
      <top style="medium">
        <color rgb="FF000000"/>
      </top>
      <bottom/>
      <diagonal/>
    </border>
    <border>
      <left/>
      <right style="thin">
        <color indexed="64"/>
      </right>
      <top style="thin">
        <color indexed="64"/>
      </top>
      <bottom/>
      <diagonal/>
    </border>
    <border>
      <left/>
      <right style="thin">
        <color rgb="FF000000"/>
      </right>
      <top style="thin">
        <color rgb="FF000000"/>
      </top>
      <bottom style="medium">
        <color rgb="FF000000"/>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indexed="64"/>
      </left>
      <right style="thin">
        <color rgb="FF000000"/>
      </right>
      <top style="medium">
        <color rgb="FF000000"/>
      </top>
      <bottom/>
      <diagonal/>
    </border>
    <border>
      <left style="thin">
        <color rgb="FF000000"/>
      </left>
      <right style="thin">
        <color indexed="64"/>
      </right>
      <top/>
      <bottom style="medium">
        <color rgb="FF000000"/>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right/>
      <top/>
      <bottom style="thin">
        <color rgb="FF000000"/>
      </bottom>
      <diagonal/>
    </border>
    <border>
      <left style="thin">
        <color indexed="64"/>
      </left>
      <right/>
      <top style="medium">
        <color rgb="FF000000"/>
      </top>
      <bottom/>
      <diagonal/>
    </border>
    <border>
      <left style="thin">
        <color indexed="64"/>
      </left>
      <right/>
      <top/>
      <bottom style="thin">
        <color rgb="FF000000"/>
      </bottom>
      <diagonal/>
    </border>
    <border>
      <left style="medium">
        <color rgb="FFA5A5A5"/>
      </left>
      <right style="medium">
        <color rgb="FFA5A5A5"/>
      </right>
      <top style="medium">
        <color rgb="FFA5A5A5"/>
      </top>
      <bottom style="medium">
        <color rgb="FFA5A5A5"/>
      </bottom>
      <diagonal/>
    </border>
    <border>
      <left style="thin">
        <color indexed="64"/>
      </left>
      <right style="thin">
        <color indexed="64"/>
      </right>
      <top/>
      <bottom style="thick">
        <color rgb="FF000000"/>
      </bottom>
      <diagonal/>
    </border>
    <border>
      <left/>
      <right/>
      <top/>
      <bottom style="thin">
        <color indexed="64"/>
      </bottom>
      <diagonal/>
    </border>
    <border>
      <left/>
      <right/>
      <top style="thin">
        <color indexed="64"/>
      </top>
      <bottom/>
      <diagonal/>
    </border>
    <border>
      <left/>
      <right/>
      <top style="thin">
        <color rgb="FF000000"/>
      </top>
      <bottom/>
      <diagonal/>
    </border>
    <border>
      <left style="thin">
        <color indexed="64"/>
      </left>
      <right/>
      <top style="thin">
        <color rgb="FF000000"/>
      </top>
      <bottom/>
      <diagonal/>
    </border>
    <border>
      <left/>
      <right/>
      <top style="thick">
        <color rgb="FF000000"/>
      </top>
      <bottom/>
      <diagonal/>
    </border>
    <border>
      <left/>
      <right style="thin">
        <color indexed="64"/>
      </right>
      <top/>
      <bottom/>
      <diagonal/>
    </border>
    <border>
      <left/>
      <right/>
      <top style="medium">
        <color indexed="64"/>
      </top>
      <bottom/>
      <diagonal/>
    </border>
    <border>
      <left style="thin">
        <color indexed="64"/>
      </left>
      <right/>
      <top style="thick">
        <color rgb="FF000000"/>
      </top>
      <bottom/>
      <diagonal/>
    </border>
    <border>
      <left style="thin">
        <color indexed="64"/>
      </left>
      <right/>
      <top/>
      <bottom style="medium">
        <color rgb="FF000000"/>
      </bottom>
      <diagonal/>
    </border>
    <border>
      <left/>
      <right/>
      <top/>
      <bottom style="medium">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9" fontId="3" fillId="0" borderId="0" applyFont="0" applyFill="0" applyBorder="0" applyAlignment="0" applyProtection="0"/>
    <xf numFmtId="42" fontId="3" fillId="0" borderId="0" applyFont="0" applyFill="0" applyBorder="0" applyAlignment="0" applyProtection="0"/>
  </cellStyleXfs>
  <cellXfs count="2242">
    <xf numFmtId="0" fontId="0" fillId="0" borderId="0" xfId="0"/>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center" vertical="center" wrapText="1"/>
    </xf>
    <xf numFmtId="0" fontId="5" fillId="0" borderId="0" xfId="0" applyFont="1" applyAlignment="1">
      <alignment horizontal="left"/>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0" fillId="0" borderId="0" xfId="0" applyAlignment="1"/>
    <xf numFmtId="0" fontId="7" fillId="45" borderId="13" xfId="0" applyFont="1" applyFill="1" applyBorder="1" applyAlignment="1">
      <alignment horizontal="center" vertical="center"/>
    </xf>
    <xf numFmtId="164" fontId="0" fillId="0" borderId="0" xfId="0" applyNumberFormat="1"/>
    <xf numFmtId="0" fontId="8" fillId="0" borderId="0" xfId="0" applyFont="1"/>
    <xf numFmtId="0" fontId="8" fillId="0" borderId="0" xfId="0" applyFont="1" applyAlignment="1">
      <alignment horizontal="center" vertical="center"/>
    </xf>
    <xf numFmtId="0" fontId="8" fillId="0" borderId="0" xfId="0" applyFont="1" applyAlignment="1">
      <alignment horizontal="left"/>
    </xf>
    <xf numFmtId="164" fontId="8" fillId="0" borderId="0" xfId="0" applyNumberFormat="1" applyFont="1" applyAlignment="1">
      <alignment horizontal="center"/>
    </xf>
    <xf numFmtId="164" fontId="8" fillId="0" borderId="0" xfId="3" applyNumberFormat="1" applyFont="1" applyAlignment="1">
      <alignment horizontal="center"/>
    </xf>
    <xf numFmtId="165" fontId="8" fillId="0" borderId="0" xfId="3" applyNumberFormat="1" applyFont="1" applyAlignment="1">
      <alignment horizontal="center"/>
    </xf>
    <xf numFmtId="9" fontId="8" fillId="0" borderId="0" xfId="5" applyFont="1" applyAlignment="1">
      <alignment horizontal="center" vertical="center"/>
    </xf>
    <xf numFmtId="0" fontId="8" fillId="0" borderId="0" xfId="0" applyFont="1" applyAlignment="1"/>
    <xf numFmtId="164" fontId="8" fillId="0" borderId="0" xfId="0" applyNumberFormat="1" applyFont="1" applyAlignment="1">
      <alignment horizontal="center" vertical="center"/>
    </xf>
    <xf numFmtId="0" fontId="8" fillId="0" borderId="0" xfId="0" applyFont="1" applyAlignment="1">
      <alignment horizontal="left"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6" xfId="0" applyFont="1" applyBorder="1" applyAlignment="1">
      <alignment horizontal="left" vertical="center"/>
    </xf>
    <xf numFmtId="0" fontId="11" fillId="0" borderId="0" xfId="0" applyFont="1" applyAlignment="1">
      <alignment horizontal="center" vertical="center"/>
    </xf>
    <xf numFmtId="164" fontId="8" fillId="0" borderId="8" xfId="0" applyNumberFormat="1" applyFont="1" applyBorder="1" applyAlignment="1">
      <alignment horizontal="center" vertical="center"/>
    </xf>
    <xf numFmtId="9" fontId="8" fillId="0" borderId="9" xfId="5" applyFont="1" applyBorder="1" applyAlignment="1">
      <alignment horizontal="center" vertical="center"/>
    </xf>
    <xf numFmtId="9" fontId="8" fillId="0" borderId="10" xfId="5" applyFont="1" applyBorder="1" applyAlignment="1">
      <alignment horizontal="center" vertical="center"/>
    </xf>
    <xf numFmtId="9" fontId="6" fillId="6" borderId="16" xfId="0" applyNumberFormat="1" applyFont="1" applyFill="1" applyBorder="1" applyAlignment="1">
      <alignment horizontal="center" vertical="center"/>
    </xf>
    <xf numFmtId="0" fontId="6" fillId="7" borderId="16" xfId="0" applyFont="1" applyFill="1" applyBorder="1" applyAlignment="1">
      <alignment horizontal="left" vertical="center"/>
    </xf>
    <xf numFmtId="9" fontId="6" fillId="5" borderId="17" xfId="0" applyNumberFormat="1" applyFont="1" applyFill="1" applyBorder="1" applyAlignment="1">
      <alignment horizontal="center" vertical="center"/>
    </xf>
    <xf numFmtId="164" fontId="6" fillId="7" borderId="11" xfId="6" applyNumberFormat="1" applyFont="1" applyFill="1" applyBorder="1" applyAlignment="1"/>
    <xf numFmtId="164" fontId="6" fillId="6" borderId="11" xfId="0" applyNumberFormat="1" applyFont="1" applyFill="1" applyBorder="1" applyAlignment="1">
      <alignment horizontal="left" vertical="center"/>
    </xf>
    <xf numFmtId="164" fontId="6" fillId="7" borderId="11" xfId="0" applyNumberFormat="1" applyFont="1" applyFill="1" applyBorder="1" applyAlignment="1"/>
    <xf numFmtId="164" fontId="6" fillId="7" borderId="16" xfId="0" applyNumberFormat="1" applyFont="1" applyFill="1" applyBorder="1" applyAlignment="1">
      <alignment horizontal="left" vertical="center"/>
    </xf>
    <xf numFmtId="164" fontId="6" fillId="6" borderId="16" xfId="0" applyNumberFormat="1" applyFont="1" applyFill="1" applyBorder="1" applyAlignment="1">
      <alignment horizontal="left" vertical="center"/>
    </xf>
    <xf numFmtId="9" fontId="6" fillId="7" borderId="16" xfId="0" applyNumberFormat="1" applyFont="1" applyFill="1" applyBorder="1" applyAlignment="1">
      <alignment horizontal="left" vertical="center"/>
    </xf>
    <xf numFmtId="0" fontId="6" fillId="9" borderId="16" xfId="0" applyFont="1" applyFill="1" applyBorder="1" applyAlignment="1">
      <alignment horizontal="left" vertical="center"/>
    </xf>
    <xf numFmtId="0" fontId="6" fillId="7" borderId="13" xfId="0" applyFont="1" applyFill="1" applyBorder="1" applyAlignment="1">
      <alignment horizontal="left" vertical="center"/>
    </xf>
    <xf numFmtId="9" fontId="6" fillId="5" borderId="1" xfId="0" applyNumberFormat="1" applyFont="1" applyFill="1" applyBorder="1" applyAlignment="1">
      <alignment horizontal="center" vertical="center"/>
    </xf>
    <xf numFmtId="164" fontId="6" fillId="6" borderId="13" xfId="0" applyNumberFormat="1" applyFont="1" applyFill="1" applyBorder="1" applyAlignment="1">
      <alignment horizontal="left" vertical="center"/>
    </xf>
    <xf numFmtId="0" fontId="6" fillId="9" borderId="13" xfId="0" applyFont="1" applyFill="1" applyBorder="1" applyAlignment="1">
      <alignment horizontal="left" vertical="center"/>
    </xf>
    <xf numFmtId="0" fontId="6" fillId="5" borderId="13" xfId="0" applyFont="1" applyFill="1" applyBorder="1" applyAlignment="1">
      <alignment horizontal="left" vertical="center"/>
    </xf>
    <xf numFmtId="0" fontId="6" fillId="5" borderId="13" xfId="0" applyFont="1" applyFill="1" applyBorder="1" applyAlignment="1">
      <alignment horizontal="center" vertical="center"/>
    </xf>
    <xf numFmtId="1" fontId="6" fillId="6" borderId="13" xfId="0" applyNumberFormat="1" applyFont="1" applyFill="1" applyBorder="1" applyAlignment="1">
      <alignment horizontal="center" vertical="center"/>
    </xf>
    <xf numFmtId="1" fontId="6" fillId="5" borderId="1" xfId="0" applyNumberFormat="1" applyFont="1" applyFill="1" applyBorder="1" applyAlignment="1">
      <alignment horizontal="center" vertical="center"/>
    </xf>
    <xf numFmtId="164" fontId="6" fillId="7" borderId="22" xfId="0" applyNumberFormat="1" applyFont="1" applyFill="1" applyBorder="1" applyAlignment="1">
      <alignment horizontal="left" vertical="center"/>
    </xf>
    <xf numFmtId="0" fontId="6" fillId="5" borderId="6" xfId="0" applyFont="1" applyFill="1" applyBorder="1" applyAlignment="1">
      <alignment horizontal="center" vertical="center"/>
    </xf>
    <xf numFmtId="9" fontId="6" fillId="6" borderId="13" xfId="0" applyNumberFormat="1" applyFont="1" applyFill="1" applyBorder="1" applyAlignment="1">
      <alignment horizontal="center" vertical="center"/>
    </xf>
    <xf numFmtId="0" fontId="6" fillId="5" borderId="6" xfId="0" applyFont="1" applyFill="1" applyBorder="1" applyAlignment="1">
      <alignment horizontal="left" vertical="center"/>
    </xf>
    <xf numFmtId="9" fontId="6" fillId="5" borderId="13" xfId="0" applyNumberFormat="1" applyFont="1" applyFill="1" applyBorder="1" applyAlignment="1">
      <alignment horizontal="center" vertical="center"/>
    </xf>
    <xf numFmtId="9" fontId="6" fillId="7" borderId="11" xfId="0" applyNumberFormat="1" applyFont="1" applyFill="1" applyBorder="1" applyAlignment="1">
      <alignment horizontal="center" vertical="center"/>
    </xf>
    <xf numFmtId="164" fontId="6" fillId="7" borderId="11" xfId="0" applyNumberFormat="1" applyFont="1" applyFill="1" applyBorder="1" applyAlignment="1">
      <alignment horizontal="left" vertical="center"/>
    </xf>
    <xf numFmtId="167" fontId="6" fillId="5" borderId="6" xfId="0" applyNumberFormat="1" applyFont="1" applyFill="1" applyBorder="1" applyAlignment="1">
      <alignment horizontal="center" vertical="center"/>
    </xf>
    <xf numFmtId="1" fontId="6" fillId="7" borderId="11" xfId="0" applyNumberFormat="1" applyFont="1" applyFill="1" applyBorder="1" applyAlignment="1">
      <alignment horizontal="center" vertical="center"/>
    </xf>
    <xf numFmtId="164" fontId="6" fillId="7" borderId="11" xfId="0" applyNumberFormat="1" applyFont="1" applyFill="1" applyBorder="1" applyAlignment="1">
      <alignment horizontal="center" vertical="center"/>
    </xf>
    <xf numFmtId="0" fontId="6" fillId="5" borderId="16" xfId="0" applyFont="1" applyFill="1" applyBorder="1" applyAlignment="1">
      <alignment horizontal="center" vertical="center"/>
    </xf>
    <xf numFmtId="164" fontId="6" fillId="6" borderId="32" xfId="0" applyNumberFormat="1" applyFont="1" applyFill="1" applyBorder="1" applyAlignment="1">
      <alignment horizontal="left" vertical="center"/>
    </xf>
    <xf numFmtId="164" fontId="6" fillId="6" borderId="33" xfId="0" applyNumberFormat="1" applyFont="1" applyFill="1" applyBorder="1" applyAlignment="1">
      <alignment horizontal="left" vertical="center"/>
    </xf>
    <xf numFmtId="1" fontId="6" fillId="6" borderId="3" xfId="0" applyNumberFormat="1" applyFont="1" applyFill="1" applyBorder="1" applyAlignment="1">
      <alignment horizontal="center" vertical="center"/>
    </xf>
    <xf numFmtId="0" fontId="6" fillId="7" borderId="37" xfId="0" applyFont="1" applyFill="1" applyBorder="1" applyAlignment="1">
      <alignment horizontal="center" vertical="center"/>
    </xf>
    <xf numFmtId="0" fontId="6" fillId="7" borderId="11"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5" xfId="0" applyFont="1" applyFill="1" applyBorder="1" applyAlignment="1">
      <alignment horizontal="center" vertical="center"/>
    </xf>
    <xf numFmtId="164" fontId="6" fillId="7" borderId="16" xfId="0" applyNumberFormat="1" applyFont="1" applyFill="1" applyBorder="1" applyAlignment="1">
      <alignment horizontal="center" vertical="center"/>
    </xf>
    <xf numFmtId="164" fontId="6" fillId="6" borderId="16" xfId="0" applyNumberFormat="1" applyFont="1" applyFill="1" applyBorder="1" applyAlignment="1">
      <alignment horizontal="center" vertical="center"/>
    </xf>
    <xf numFmtId="0" fontId="6" fillId="7" borderId="16" xfId="0" applyFont="1" applyFill="1" applyBorder="1" applyAlignment="1">
      <alignment horizontal="center" vertical="center"/>
    </xf>
    <xf numFmtId="9" fontId="6" fillId="7" borderId="16" xfId="0" applyNumberFormat="1" applyFont="1" applyFill="1" applyBorder="1" applyAlignment="1">
      <alignment horizontal="center" vertical="center"/>
    </xf>
    <xf numFmtId="0" fontId="6" fillId="9" borderId="16" xfId="0" applyFont="1" applyFill="1" applyBorder="1" applyAlignment="1">
      <alignment horizontal="center" vertical="center"/>
    </xf>
    <xf numFmtId="0" fontId="6" fillId="5" borderId="11" xfId="0" applyFont="1" applyFill="1" applyBorder="1" applyAlignment="1">
      <alignment horizontal="left" vertical="center" wrapText="1"/>
    </xf>
    <xf numFmtId="0" fontId="6" fillId="5" borderId="11" xfId="0" applyFont="1" applyFill="1" applyBorder="1" applyAlignment="1">
      <alignment horizontal="center" vertical="center" wrapText="1"/>
    </xf>
    <xf numFmtId="0" fontId="6" fillId="5" borderId="13" xfId="0" applyFont="1" applyFill="1" applyBorder="1" applyAlignment="1">
      <alignment horizontal="center" vertical="top"/>
    </xf>
    <xf numFmtId="9" fontId="6" fillId="5" borderId="11" xfId="0" applyNumberFormat="1" applyFont="1" applyFill="1" applyBorder="1" applyAlignment="1">
      <alignment horizontal="center" vertical="center"/>
    </xf>
    <xf numFmtId="9" fontId="6" fillId="6" borderId="3" xfId="0" applyNumberFormat="1" applyFont="1" applyFill="1" applyBorder="1" applyAlignment="1">
      <alignment horizontal="center" vertical="center"/>
    </xf>
    <xf numFmtId="164" fontId="6" fillId="6" borderId="45" xfId="0" applyNumberFormat="1" applyFont="1" applyFill="1" applyBorder="1" applyAlignment="1">
      <alignment horizontal="left" vertical="center"/>
    </xf>
    <xf numFmtId="9" fontId="6" fillId="5" borderId="6" xfId="0" applyNumberFormat="1" applyFont="1" applyFill="1" applyBorder="1" applyAlignment="1">
      <alignment horizontal="center" vertical="center"/>
    </xf>
    <xf numFmtId="0" fontId="6" fillId="5" borderId="1" xfId="0" applyFont="1" applyFill="1" applyBorder="1" applyAlignment="1">
      <alignment horizontal="center" vertical="center"/>
    </xf>
    <xf numFmtId="1" fontId="6" fillId="5" borderId="6" xfId="0" applyNumberFormat="1" applyFont="1" applyFill="1" applyBorder="1" applyAlignment="1">
      <alignment horizontal="center" vertical="center"/>
    </xf>
    <xf numFmtId="164" fontId="6" fillId="6" borderId="6" xfId="0" applyNumberFormat="1" applyFont="1" applyFill="1" applyBorder="1" applyAlignment="1">
      <alignment vertical="center"/>
    </xf>
    <xf numFmtId="164" fontId="6" fillId="6" borderId="45" xfId="0" applyNumberFormat="1" applyFont="1" applyFill="1" applyBorder="1" applyAlignment="1">
      <alignment vertical="center"/>
    </xf>
    <xf numFmtId="164" fontId="6" fillId="5" borderId="6" xfId="0" applyNumberFormat="1" applyFont="1" applyFill="1" applyBorder="1" applyAlignment="1">
      <alignment horizontal="center" vertical="center"/>
    </xf>
    <xf numFmtId="0" fontId="6" fillId="19" borderId="6" xfId="0" applyFont="1" applyFill="1" applyBorder="1" applyAlignment="1">
      <alignment horizontal="center" vertical="center"/>
    </xf>
    <xf numFmtId="164" fontId="6" fillId="5" borderId="16" xfId="0" applyNumberFormat="1" applyFont="1" applyFill="1" applyBorder="1" applyAlignment="1">
      <alignment horizontal="center" vertical="center"/>
    </xf>
    <xf numFmtId="0" fontId="6" fillId="19" borderId="16" xfId="0" applyFont="1" applyFill="1" applyBorder="1" applyAlignment="1">
      <alignment horizontal="center" vertical="center"/>
    </xf>
    <xf numFmtId="164" fontId="6" fillId="6" borderId="40" xfId="0" applyNumberFormat="1" applyFont="1" applyFill="1" applyBorder="1" applyAlignment="1">
      <alignment vertical="center"/>
    </xf>
    <xf numFmtId="0" fontId="6" fillId="5" borderId="3" xfId="0" applyFont="1" applyFill="1" applyBorder="1" applyAlignment="1">
      <alignment horizontal="center" vertical="center"/>
    </xf>
    <xf numFmtId="0" fontId="6" fillId="7" borderId="1" xfId="0" applyFont="1" applyFill="1" applyBorder="1" applyAlignment="1">
      <alignment horizontal="left" vertical="center"/>
    </xf>
    <xf numFmtId="1" fontId="6" fillId="5" borderId="16" xfId="0" applyNumberFormat="1" applyFont="1" applyFill="1" applyBorder="1" applyAlignment="1">
      <alignment horizontal="center" vertical="center"/>
    </xf>
    <xf numFmtId="9" fontId="6" fillId="5" borderId="1" xfId="7" applyFont="1" applyFill="1" applyBorder="1" applyAlignment="1">
      <alignment horizontal="center" vertical="center"/>
    </xf>
    <xf numFmtId="0" fontId="8" fillId="23" borderId="16" xfId="0" applyFont="1" applyFill="1" applyBorder="1" applyAlignment="1">
      <alignment horizontal="center" vertical="center"/>
    </xf>
    <xf numFmtId="0" fontId="7" fillId="23" borderId="16" xfId="0" applyFont="1" applyFill="1" applyBorder="1" applyAlignment="1">
      <alignment horizontal="center" vertical="center"/>
    </xf>
    <xf numFmtId="0" fontId="8" fillId="24" borderId="16" xfId="0" applyFont="1" applyFill="1" applyBorder="1" applyAlignment="1">
      <alignment horizontal="left" vertical="center"/>
    </xf>
    <xf numFmtId="9" fontId="8" fillId="22" borderId="47" xfId="0" applyNumberFormat="1" applyFont="1" applyFill="1" applyBorder="1" applyAlignment="1">
      <alignment horizontal="center" vertical="center"/>
    </xf>
    <xf numFmtId="164" fontId="8" fillId="23" borderId="16" xfId="0" applyNumberFormat="1" applyFont="1" applyFill="1" applyBorder="1" applyAlignment="1">
      <alignment horizontal="left" vertical="center"/>
    </xf>
    <xf numFmtId="164" fontId="8" fillId="23" borderId="16" xfId="8" applyNumberFormat="1" applyFont="1" applyFill="1" applyBorder="1" applyAlignment="1">
      <alignment horizontal="left" vertical="center"/>
    </xf>
    <xf numFmtId="164" fontId="8" fillId="24" borderId="16" xfId="3" applyNumberFormat="1" applyFont="1" applyFill="1" applyBorder="1" applyAlignment="1">
      <alignment horizontal="center" vertical="center"/>
    </xf>
    <xf numFmtId="9" fontId="8" fillId="24" borderId="16" xfId="5" applyFont="1" applyFill="1" applyBorder="1" applyAlignment="1">
      <alignment horizontal="center" vertical="center"/>
    </xf>
    <xf numFmtId="164" fontId="8" fillId="23" borderId="16" xfId="0" applyNumberFormat="1" applyFont="1" applyFill="1" applyBorder="1" applyAlignment="1">
      <alignment horizontal="left"/>
    </xf>
    <xf numFmtId="164" fontId="8" fillId="23" borderId="16" xfId="0" applyNumberFormat="1" applyFont="1" applyFill="1" applyBorder="1" applyAlignment="1">
      <alignment horizontal="center"/>
    </xf>
    <xf numFmtId="0" fontId="8" fillId="23" borderId="13" xfId="0" applyFont="1" applyFill="1" applyBorder="1" applyAlignment="1">
      <alignment horizontal="center" vertical="center"/>
    </xf>
    <xf numFmtId="0" fontId="8" fillId="24" borderId="13" xfId="0" applyFont="1" applyFill="1" applyBorder="1" applyAlignment="1">
      <alignment horizontal="left" vertical="center"/>
    </xf>
    <xf numFmtId="0" fontId="8" fillId="22" borderId="1" xfId="0" applyFont="1" applyFill="1" applyBorder="1" applyAlignment="1">
      <alignment horizontal="center" vertical="center"/>
    </xf>
    <xf numFmtId="164" fontId="6" fillId="24" borderId="11" xfId="8" applyNumberFormat="1" applyFont="1" applyFill="1" applyBorder="1" applyAlignment="1">
      <alignment horizontal="center" vertical="center"/>
    </xf>
    <xf numFmtId="164" fontId="8" fillId="23" borderId="13" xfId="0" applyNumberFormat="1" applyFont="1" applyFill="1" applyBorder="1" applyAlignment="1">
      <alignment horizontal="left" vertical="center"/>
    </xf>
    <xf numFmtId="9" fontId="8" fillId="24" borderId="13" xfId="5" applyFont="1" applyFill="1" applyBorder="1" applyAlignment="1">
      <alignment horizontal="center" vertical="center"/>
    </xf>
    <xf numFmtId="164" fontId="8" fillId="23" borderId="13" xfId="0" applyNumberFormat="1" applyFont="1" applyFill="1" applyBorder="1" applyAlignment="1">
      <alignment horizontal="left"/>
    </xf>
    <xf numFmtId="164" fontId="8" fillId="23" borderId="13" xfId="0" applyNumberFormat="1" applyFont="1" applyFill="1" applyBorder="1" applyAlignment="1">
      <alignment horizontal="center"/>
    </xf>
    <xf numFmtId="164" fontId="6" fillId="25" borderId="11" xfId="6" applyNumberFormat="1" applyFont="1" applyFill="1" applyBorder="1" applyAlignment="1"/>
    <xf numFmtId="164" fontId="6" fillId="25" borderId="11" xfId="0" applyNumberFormat="1" applyFont="1" applyFill="1" applyBorder="1" applyAlignment="1"/>
    <xf numFmtId="164" fontId="8" fillId="23" borderId="13" xfId="8" applyNumberFormat="1" applyFont="1" applyFill="1" applyBorder="1" applyAlignment="1">
      <alignment horizontal="left" vertical="center"/>
    </xf>
    <xf numFmtId="164" fontId="8" fillId="23" borderId="13" xfId="8" applyNumberFormat="1" applyFont="1" applyFill="1" applyBorder="1" applyAlignment="1">
      <alignment horizontal="left"/>
    </xf>
    <xf numFmtId="164" fontId="6" fillId="24" borderId="11" xfId="3" applyNumberFormat="1" applyFont="1" applyFill="1" applyBorder="1" applyAlignment="1">
      <alignment vertical="center"/>
    </xf>
    <xf numFmtId="164" fontId="6" fillId="24" borderId="11" xfId="0" applyNumberFormat="1" applyFont="1" applyFill="1" applyBorder="1" applyAlignment="1">
      <alignment vertical="center"/>
    </xf>
    <xf numFmtId="164" fontId="8" fillId="23" borderId="13" xfId="8" applyNumberFormat="1" applyFont="1" applyFill="1" applyBorder="1" applyAlignment="1">
      <alignment horizontal="right" vertical="center"/>
    </xf>
    <xf numFmtId="164" fontId="7" fillId="23" borderId="13" xfId="8" applyNumberFormat="1" applyFont="1" applyFill="1" applyBorder="1" applyAlignment="1">
      <alignment horizontal="left" vertical="center"/>
    </xf>
    <xf numFmtId="164" fontId="7" fillId="24" borderId="11" xfId="8" applyNumberFormat="1" applyFont="1" applyFill="1" applyBorder="1" applyAlignment="1">
      <alignment horizontal="right" vertical="center"/>
    </xf>
    <xf numFmtId="9" fontId="8" fillId="22" borderId="1" xfId="0" applyNumberFormat="1" applyFont="1" applyFill="1" applyBorder="1" applyAlignment="1">
      <alignment horizontal="center" vertical="center"/>
    </xf>
    <xf numFmtId="0" fontId="8" fillId="22" borderId="51" xfId="0" applyFont="1" applyFill="1" applyBorder="1" applyAlignment="1">
      <alignment horizontal="center" vertical="center"/>
    </xf>
    <xf numFmtId="9" fontId="8" fillId="27" borderId="13" xfId="5" applyFont="1" applyFill="1" applyBorder="1" applyAlignment="1">
      <alignment horizontal="center" vertical="center"/>
    </xf>
    <xf numFmtId="165" fontId="8" fillId="26" borderId="50" xfId="0" applyNumberFormat="1" applyFont="1" applyFill="1" applyBorder="1" applyAlignment="1">
      <alignment horizontal="center" vertical="center"/>
    </xf>
    <xf numFmtId="164" fontId="8" fillId="28" borderId="13" xfId="0" applyNumberFormat="1" applyFont="1" applyFill="1" applyBorder="1" applyAlignment="1">
      <alignment horizontal="center" vertical="center"/>
    </xf>
    <xf numFmtId="9" fontId="8" fillId="21" borderId="13" xfId="7" applyFont="1" applyFill="1" applyBorder="1" applyAlignment="1">
      <alignment horizontal="center" vertical="center"/>
    </xf>
    <xf numFmtId="164" fontId="8" fillId="28" borderId="13" xfId="0" applyNumberFormat="1" applyFont="1" applyFill="1" applyBorder="1" applyAlignment="1">
      <alignment horizontal="center"/>
    </xf>
    <xf numFmtId="164" fontId="8" fillId="21" borderId="13" xfId="0" applyNumberFormat="1" applyFont="1" applyFill="1" applyBorder="1" applyAlignment="1">
      <alignment horizontal="center" vertical="center"/>
    </xf>
    <xf numFmtId="164" fontId="8" fillId="29" borderId="13" xfId="3" applyNumberFormat="1" applyFont="1" applyFill="1" applyBorder="1" applyAlignment="1">
      <alignment horizontal="center" vertical="center"/>
    </xf>
    <xf numFmtId="9" fontId="8" fillId="29" borderId="13" xfId="5" applyFont="1" applyFill="1" applyBorder="1" applyAlignment="1">
      <alignment horizontal="center" vertical="center"/>
    </xf>
    <xf numFmtId="164" fontId="8" fillId="30" borderId="13" xfId="0" applyNumberFormat="1" applyFont="1" applyFill="1" applyBorder="1" applyAlignment="1">
      <alignment horizontal="center"/>
    </xf>
    <xf numFmtId="0" fontId="7" fillId="32" borderId="13" xfId="0" applyFont="1" applyFill="1" applyBorder="1" applyAlignment="1">
      <alignment horizontal="center" vertical="center"/>
    </xf>
    <xf numFmtId="0" fontId="7" fillId="31" borderId="47" xfId="0" applyFont="1" applyFill="1" applyBorder="1" applyAlignment="1">
      <alignment horizontal="center" vertical="center"/>
    </xf>
    <xf numFmtId="164" fontId="7" fillId="32" borderId="13" xfId="0" applyNumberFormat="1" applyFont="1" applyFill="1" applyBorder="1" applyAlignment="1">
      <alignment horizontal="center" vertical="center"/>
    </xf>
    <xf numFmtId="164" fontId="7" fillId="16" borderId="13" xfId="1" applyNumberFormat="1" applyFont="1" applyFill="1" applyBorder="1" applyAlignment="1">
      <alignment horizontal="center" vertical="center"/>
    </xf>
    <xf numFmtId="9" fontId="7" fillId="16" borderId="13" xfId="5" applyFont="1" applyFill="1" applyBorder="1" applyAlignment="1">
      <alignment horizontal="center" vertical="center"/>
    </xf>
    <xf numFmtId="168" fontId="7" fillId="32" borderId="13" xfId="1" applyNumberFormat="1" applyFont="1" applyFill="1" applyBorder="1" applyAlignment="1">
      <alignment horizontal="center" vertical="center"/>
    </xf>
    <xf numFmtId="168" fontId="7" fillId="31" borderId="1" xfId="1" applyNumberFormat="1" applyFont="1" applyFill="1" applyBorder="1" applyAlignment="1">
      <alignment horizontal="center" vertical="center"/>
    </xf>
    <xf numFmtId="164" fontId="7" fillId="32" borderId="13" xfId="1" applyNumberFormat="1" applyFont="1" applyFill="1" applyBorder="1" applyAlignment="1">
      <alignment horizontal="center" vertical="center"/>
    </xf>
    <xf numFmtId="164" fontId="6" fillId="32" borderId="13" xfId="0" applyNumberFormat="1" applyFont="1" applyFill="1" applyBorder="1" applyAlignment="1">
      <alignment horizontal="center" vertical="center"/>
    </xf>
    <xf numFmtId="43" fontId="7" fillId="32" borderId="13" xfId="1" applyFont="1" applyFill="1" applyBorder="1" applyAlignment="1">
      <alignment horizontal="center" vertical="center"/>
    </xf>
    <xf numFmtId="0" fontId="7" fillId="31" borderId="1" xfId="0" applyFont="1" applyFill="1" applyBorder="1" applyAlignment="1">
      <alignment horizontal="center" vertical="center"/>
    </xf>
    <xf numFmtId="164" fontId="7" fillId="32" borderId="13" xfId="0" applyNumberFormat="1" applyFont="1" applyFill="1" applyBorder="1" applyAlignment="1">
      <alignment horizontal="center"/>
    </xf>
    <xf numFmtId="165" fontId="7" fillId="31" borderId="16" xfId="0" applyNumberFormat="1" applyFont="1" applyFill="1" applyBorder="1" applyAlignment="1">
      <alignment horizontal="center" vertical="center"/>
    </xf>
    <xf numFmtId="165" fontId="7" fillId="31" borderId="13" xfId="0" applyNumberFormat="1" applyFont="1" applyFill="1" applyBorder="1" applyAlignment="1">
      <alignment horizontal="center" vertical="center"/>
    </xf>
    <xf numFmtId="169" fontId="7" fillId="32" borderId="13" xfId="0" applyNumberFormat="1" applyFont="1" applyFill="1" applyBorder="1" applyAlignment="1">
      <alignment horizontal="center" vertical="center"/>
    </xf>
    <xf numFmtId="164" fontId="7" fillId="16" borderId="13" xfId="4" applyNumberFormat="1" applyFont="1" applyFill="1" applyBorder="1" applyAlignment="1">
      <alignment horizontal="center" vertical="center"/>
    </xf>
    <xf numFmtId="164" fontId="7" fillId="32" borderId="13" xfId="4" applyNumberFormat="1" applyFont="1" applyFill="1" applyBorder="1" applyAlignment="1">
      <alignment horizontal="center" vertical="center"/>
    </xf>
    <xf numFmtId="168" fontId="6" fillId="31" borderId="1" xfId="1" applyNumberFormat="1" applyFont="1" applyFill="1" applyBorder="1" applyAlignment="1">
      <alignment horizontal="center" vertical="center"/>
    </xf>
    <xf numFmtId="168" fontId="6" fillId="32" borderId="13" xfId="1" applyNumberFormat="1" applyFont="1" applyFill="1" applyBorder="1" applyAlignment="1">
      <alignment horizontal="center" vertical="center"/>
    </xf>
    <xf numFmtId="0" fontId="6" fillId="32" borderId="13" xfId="0" applyFont="1" applyFill="1" applyBorder="1" applyAlignment="1">
      <alignment horizontal="center" vertical="center"/>
    </xf>
    <xf numFmtId="0" fontId="6" fillId="31" borderId="1" xfId="0" applyFont="1" applyFill="1" applyBorder="1" applyAlignment="1">
      <alignment horizontal="center" vertical="center"/>
    </xf>
    <xf numFmtId="164" fontId="8" fillId="24" borderId="13" xfId="3" applyNumberFormat="1" applyFont="1" applyFill="1" applyBorder="1" applyAlignment="1">
      <alignment horizontal="center" vertical="center"/>
    </xf>
    <xf numFmtId="165" fontId="8" fillId="33" borderId="13" xfId="0" applyNumberFormat="1" applyFont="1" applyFill="1" applyBorder="1" applyAlignment="1">
      <alignment horizontal="center" vertical="center"/>
    </xf>
    <xf numFmtId="9" fontId="8" fillId="36" borderId="13" xfId="5" applyFont="1" applyFill="1" applyBorder="1" applyAlignment="1">
      <alignment horizontal="center" vertical="center"/>
    </xf>
    <xf numFmtId="0" fontId="8" fillId="37" borderId="11" xfId="0" applyFont="1" applyFill="1" applyBorder="1" applyAlignment="1">
      <alignment horizontal="center" vertical="center" wrapText="1"/>
    </xf>
    <xf numFmtId="9" fontId="8" fillId="37" borderId="11" xfId="0" applyNumberFormat="1" applyFont="1" applyFill="1" applyBorder="1" applyAlignment="1">
      <alignment horizontal="center" vertical="center"/>
    </xf>
    <xf numFmtId="9" fontId="8" fillId="38" borderId="11" xfId="0" applyNumberFormat="1" applyFont="1" applyFill="1" applyBorder="1" applyAlignment="1">
      <alignment horizontal="center" vertical="center"/>
    </xf>
    <xf numFmtId="0" fontId="8" fillId="39" borderId="11" xfId="0" applyFont="1" applyFill="1" applyBorder="1" applyAlignment="1">
      <alignment horizontal="left"/>
    </xf>
    <xf numFmtId="164" fontId="8" fillId="38" borderId="11" xfId="4" applyNumberFormat="1" applyFont="1" applyFill="1" applyBorder="1" applyAlignment="1">
      <alignment horizontal="center" vertical="center"/>
    </xf>
    <xf numFmtId="164" fontId="8" fillId="39" borderId="6" xfId="4" applyNumberFormat="1" applyFont="1" applyFill="1" applyBorder="1" applyAlignment="1">
      <alignment horizontal="center" vertical="center"/>
    </xf>
    <xf numFmtId="9" fontId="8" fillId="39" borderId="6" xfId="5" applyFont="1" applyFill="1" applyBorder="1" applyAlignment="1">
      <alignment horizontal="center" vertical="center"/>
    </xf>
    <xf numFmtId="164" fontId="8" fillId="38" borderId="11" xfId="4" applyNumberFormat="1" applyFont="1" applyFill="1" applyBorder="1" applyAlignment="1">
      <alignment horizontal="center"/>
    </xf>
    <xf numFmtId="0" fontId="8" fillId="37" borderId="11" xfId="0" applyFont="1" applyFill="1" applyBorder="1" applyAlignment="1">
      <alignment horizontal="center" vertical="center"/>
    </xf>
    <xf numFmtId="169" fontId="8" fillId="38" borderId="11" xfId="0" applyNumberFormat="1" applyFont="1" applyFill="1" applyBorder="1" applyAlignment="1">
      <alignment horizontal="center" vertical="center"/>
    </xf>
    <xf numFmtId="0" fontId="8" fillId="38" borderId="11" xfId="0" applyFont="1" applyFill="1" applyBorder="1" applyAlignment="1">
      <alignment horizontal="center" vertical="center"/>
    </xf>
    <xf numFmtId="169" fontId="8" fillId="37" borderId="11" xfId="0" applyNumberFormat="1" applyFont="1" applyFill="1" applyBorder="1" applyAlignment="1">
      <alignment horizontal="center" vertical="center"/>
    </xf>
    <xf numFmtId="9" fontId="8" fillId="17" borderId="13" xfId="5" applyFont="1" applyFill="1" applyBorder="1" applyAlignment="1">
      <alignment horizontal="center" vertical="center"/>
    </xf>
    <xf numFmtId="9" fontId="8" fillId="40" borderId="13" xfId="5" applyFont="1" applyFill="1" applyBorder="1" applyAlignment="1">
      <alignment horizontal="center" vertical="center"/>
    </xf>
    <xf numFmtId="9" fontId="8" fillId="12" borderId="13" xfId="5" applyFont="1" applyFill="1" applyBorder="1" applyAlignment="1">
      <alignment horizontal="center" vertical="center"/>
    </xf>
    <xf numFmtId="9" fontId="8" fillId="41" borderId="13" xfId="5" applyFont="1" applyFill="1" applyBorder="1" applyAlignment="1">
      <alignment horizontal="center" vertical="center"/>
    </xf>
    <xf numFmtId="9" fontId="8" fillId="18" borderId="64" xfId="5" applyFont="1" applyFill="1" applyBorder="1" applyAlignment="1">
      <alignment horizontal="center" vertical="center"/>
    </xf>
    <xf numFmtId="9" fontId="8" fillId="18" borderId="65" xfId="5" applyFont="1" applyFill="1" applyBorder="1" applyAlignment="1">
      <alignment horizontal="center" vertical="center"/>
    </xf>
    <xf numFmtId="9" fontId="8" fillId="18" borderId="71" xfId="5" applyFont="1" applyFill="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xf>
    <xf numFmtId="164" fontId="8" fillId="0" borderId="13" xfId="0" applyNumberFormat="1" applyFont="1" applyBorder="1" applyAlignment="1">
      <alignment horizontal="center" vertical="center"/>
    </xf>
    <xf numFmtId="9" fontId="8" fillId="0" borderId="13" xfId="5" applyFont="1" applyFill="1" applyBorder="1" applyAlignment="1">
      <alignment horizontal="center" vertical="center"/>
    </xf>
    <xf numFmtId="164" fontId="8" fillId="0" borderId="13" xfId="0" applyNumberFormat="1" applyFont="1" applyBorder="1" applyAlignment="1">
      <alignment horizontal="center"/>
    </xf>
    <xf numFmtId="9" fontId="8" fillId="45" borderId="1" xfId="0" applyNumberFormat="1" applyFont="1" applyFill="1" applyBorder="1" applyAlignment="1">
      <alignment horizontal="center" vertical="center"/>
    </xf>
    <xf numFmtId="0" fontId="8" fillId="45" borderId="13" xfId="0" applyFont="1" applyFill="1" applyBorder="1" applyAlignment="1">
      <alignment horizontal="left"/>
    </xf>
    <xf numFmtId="0" fontId="8" fillId="45" borderId="51" xfId="0" applyFont="1" applyFill="1" applyBorder="1" applyAlignment="1">
      <alignment horizontal="center" vertical="center"/>
    </xf>
    <xf numFmtId="164" fontId="8" fillId="45" borderId="13" xfId="3" applyNumberFormat="1" applyFont="1" applyFill="1" applyBorder="1" applyAlignment="1">
      <alignment horizontal="center" vertical="center"/>
    </xf>
    <xf numFmtId="9" fontId="8" fillId="45" borderId="13" xfId="0" applyNumberFormat="1" applyFont="1" applyFill="1" applyBorder="1" applyAlignment="1">
      <alignment horizontal="center" vertical="center"/>
    </xf>
    <xf numFmtId="165" fontId="8" fillId="0" borderId="16" xfId="0" applyNumberFormat="1" applyFont="1" applyBorder="1" applyAlignment="1">
      <alignment horizontal="center" vertical="center"/>
    </xf>
    <xf numFmtId="0" fontId="7" fillId="0" borderId="50" xfId="0" applyFont="1" applyBorder="1" applyAlignment="1">
      <alignment horizontal="center" vertical="center"/>
    </xf>
    <xf numFmtId="0" fontId="8" fillId="0" borderId="50" xfId="0" applyFont="1" applyBorder="1" applyAlignment="1">
      <alignment horizontal="center" vertical="center"/>
    </xf>
    <xf numFmtId="9" fontId="8" fillId="0" borderId="51" xfId="0" applyNumberFormat="1" applyFont="1" applyBorder="1" applyAlignment="1">
      <alignment horizontal="center" vertical="center"/>
    </xf>
    <xf numFmtId="165" fontId="8" fillId="0" borderId="50" xfId="0" applyNumberFormat="1" applyFont="1" applyBorder="1" applyAlignment="1">
      <alignment horizontal="center" vertical="center"/>
    </xf>
    <xf numFmtId="0" fontId="8" fillId="24" borderId="11" xfId="0" applyFont="1" applyFill="1" applyBorder="1" applyAlignment="1">
      <alignment horizontal="center" vertical="center" wrapText="1"/>
    </xf>
    <xf numFmtId="9" fontId="7" fillId="46" borderId="11" xfId="5" applyFont="1" applyFill="1" applyBorder="1" applyAlignment="1">
      <alignment horizontal="center" vertical="center"/>
    </xf>
    <xf numFmtId="164" fontId="8" fillId="0" borderId="0" xfId="0" applyNumberFormat="1" applyFont="1"/>
    <xf numFmtId="0" fontId="6" fillId="5" borderId="7" xfId="0" applyFont="1" applyFill="1" applyBorder="1" applyAlignment="1">
      <alignment horizontal="center" vertical="center"/>
    </xf>
    <xf numFmtId="167" fontId="6" fillId="5" borderId="7" xfId="0" applyNumberFormat="1" applyFont="1" applyFill="1" applyBorder="1" applyAlignment="1">
      <alignment horizontal="center" vertical="center"/>
    </xf>
    <xf numFmtId="0" fontId="6" fillId="5" borderId="34"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1" xfId="0" applyFont="1" applyFill="1" applyBorder="1" applyAlignment="1">
      <alignment horizontal="center" vertical="top"/>
    </xf>
    <xf numFmtId="9" fontId="6" fillId="5" borderId="7" xfId="0" applyNumberFormat="1" applyFont="1" applyFill="1" applyBorder="1" applyAlignment="1">
      <alignment horizontal="center" vertical="center"/>
    </xf>
    <xf numFmtId="9" fontId="6" fillId="7" borderId="34" xfId="0" applyNumberFormat="1" applyFont="1" applyFill="1" applyBorder="1" applyAlignment="1">
      <alignment horizontal="center" vertical="center"/>
    </xf>
    <xf numFmtId="9" fontId="6" fillId="6" borderId="22" xfId="0" applyNumberFormat="1" applyFont="1" applyFill="1" applyBorder="1" applyAlignment="1">
      <alignment horizontal="center" vertical="center"/>
    </xf>
    <xf numFmtId="9" fontId="6" fillId="7" borderId="37" xfId="0" applyNumberFormat="1" applyFont="1" applyFill="1" applyBorder="1" applyAlignment="1">
      <alignment horizontal="center" vertical="center"/>
    </xf>
    <xf numFmtId="1" fontId="6" fillId="7" borderId="37" xfId="0" applyNumberFormat="1" applyFont="1" applyFill="1" applyBorder="1" applyAlignment="1">
      <alignment horizontal="center" vertical="center"/>
    </xf>
    <xf numFmtId="9" fontId="6" fillId="5" borderId="2" xfId="7" applyFont="1" applyFill="1" applyBorder="1" applyAlignment="1">
      <alignment horizontal="center" vertical="center"/>
    </xf>
    <xf numFmtId="9" fontId="6" fillId="5" borderId="2" xfId="0" applyNumberFormat="1" applyFont="1" applyFill="1" applyBorder="1" applyAlignment="1">
      <alignment horizontal="center" vertical="center"/>
    </xf>
    <xf numFmtId="0" fontId="6" fillId="5" borderId="11" xfId="0" applyFont="1" applyFill="1" applyBorder="1" applyAlignment="1">
      <alignment vertical="center" wrapText="1"/>
    </xf>
    <xf numFmtId="0" fontId="8" fillId="7" borderId="11" xfId="0" applyFont="1" applyFill="1" applyBorder="1" applyAlignment="1">
      <alignment horizontal="justify" vertical="center" wrapText="1"/>
    </xf>
    <xf numFmtId="0" fontId="7" fillId="7" borderId="11" xfId="0" applyFont="1" applyFill="1" applyBorder="1" applyAlignment="1">
      <alignment horizontal="center" vertical="center" wrapText="1"/>
    </xf>
    <xf numFmtId="9" fontId="7" fillId="7" borderId="11" xfId="0" applyNumberFormat="1" applyFont="1" applyFill="1" applyBorder="1" applyAlignment="1">
      <alignment horizontal="center" vertical="center" wrapText="1"/>
    </xf>
    <xf numFmtId="0" fontId="8" fillId="7" borderId="11" xfId="0" applyFont="1" applyFill="1" applyBorder="1" applyAlignment="1">
      <alignment horizontal="center" vertical="center" wrapText="1"/>
    </xf>
    <xf numFmtId="9" fontId="8" fillId="7" borderId="11" xfId="0" applyNumberFormat="1" applyFont="1" applyFill="1" applyBorder="1" applyAlignment="1">
      <alignment horizontal="center" vertical="center" wrapText="1"/>
    </xf>
    <xf numFmtId="0" fontId="7" fillId="7" borderId="11" xfId="0" applyFont="1" applyFill="1" applyBorder="1" applyAlignment="1">
      <alignment horizontal="justify" vertical="center" wrapText="1"/>
    </xf>
    <xf numFmtId="0" fontId="11" fillId="7" borderId="11" xfId="0" applyFont="1" applyFill="1" applyBorder="1" applyAlignment="1">
      <alignment horizontal="center" vertical="center" wrapText="1"/>
    </xf>
    <xf numFmtId="0" fontId="12" fillId="7" borderId="11" xfId="0" applyFont="1" applyFill="1" applyBorder="1" applyAlignment="1">
      <alignment horizontal="justify" vertical="center" wrapText="1"/>
    </xf>
    <xf numFmtId="9" fontId="11" fillId="7" borderId="11" xfId="0" applyNumberFormat="1" applyFont="1" applyFill="1" applyBorder="1" applyAlignment="1">
      <alignment horizontal="center" vertical="center" wrapText="1"/>
    </xf>
    <xf numFmtId="0" fontId="13" fillId="7" borderId="11" xfId="0" applyFont="1" applyFill="1" applyBorder="1" applyAlignment="1">
      <alignment horizontal="center" vertical="center" wrapText="1"/>
    </xf>
    <xf numFmtId="9" fontId="13" fillId="7" borderId="11" xfId="0" applyNumberFormat="1" applyFont="1" applyFill="1" applyBorder="1" applyAlignment="1">
      <alignment horizontal="center" vertical="center" wrapText="1"/>
    </xf>
    <xf numFmtId="0" fontId="12" fillId="7" borderId="11" xfId="0" applyFont="1" applyFill="1" applyBorder="1" applyAlignment="1">
      <alignment horizontal="center" vertical="center" wrapText="1"/>
    </xf>
    <xf numFmtId="9" fontId="12" fillId="7" borderId="11" xfId="0" applyNumberFormat="1" applyFont="1" applyFill="1" applyBorder="1" applyAlignment="1">
      <alignment horizontal="center" vertical="center" wrapText="1"/>
    </xf>
    <xf numFmtId="0" fontId="8" fillId="7" borderId="11" xfId="0" applyFont="1" applyFill="1" applyBorder="1" applyAlignment="1">
      <alignment horizontal="left" vertical="center" wrapText="1"/>
    </xf>
    <xf numFmtId="0" fontId="7" fillId="7" borderId="11" xfId="0" applyFont="1" applyFill="1" applyBorder="1" applyAlignment="1">
      <alignment horizontal="left" vertical="center" wrapText="1"/>
    </xf>
    <xf numFmtId="9" fontId="6" fillId="5" borderId="11" xfId="0" applyNumberFormat="1" applyFont="1" applyFill="1" applyBorder="1" applyAlignment="1">
      <alignment horizontal="center" vertical="center" wrapText="1"/>
    </xf>
    <xf numFmtId="1" fontId="6" fillId="5" borderId="11" xfId="0" applyNumberFormat="1" applyFont="1" applyFill="1" applyBorder="1" applyAlignment="1">
      <alignment horizontal="center" vertical="center" wrapText="1"/>
    </xf>
    <xf numFmtId="0" fontId="8" fillId="23" borderId="22" xfId="0" applyFont="1" applyFill="1" applyBorder="1" applyAlignment="1">
      <alignment horizontal="center" vertical="center"/>
    </xf>
    <xf numFmtId="0" fontId="8" fillId="23" borderId="3" xfId="0" applyFont="1" applyFill="1" applyBorder="1" applyAlignment="1">
      <alignment horizontal="center" vertical="center"/>
    </xf>
    <xf numFmtId="0" fontId="8" fillId="24" borderId="11" xfId="0" applyFont="1" applyFill="1" applyBorder="1" applyAlignment="1">
      <alignment horizontal="left" vertical="center" wrapText="1"/>
    </xf>
    <xf numFmtId="0" fontId="14" fillId="24" borderId="11" xfId="0" applyFont="1" applyFill="1" applyBorder="1" applyAlignment="1">
      <alignment horizontal="center" vertical="center" wrapText="1"/>
    </xf>
    <xf numFmtId="0" fontId="8" fillId="24" borderId="11" xfId="0" applyFont="1" applyFill="1" applyBorder="1" applyAlignment="1">
      <alignment horizontal="justify" vertical="center" wrapText="1"/>
    </xf>
    <xf numFmtId="0" fontId="14" fillId="24" borderId="11" xfId="0" applyFont="1" applyFill="1" applyBorder="1" applyAlignment="1">
      <alignment horizontal="justify" vertical="center" wrapText="1"/>
    </xf>
    <xf numFmtId="0" fontId="14" fillId="24" borderId="11" xfId="0" applyFont="1" applyFill="1" applyBorder="1" applyAlignment="1">
      <alignment horizontal="left" vertical="center" wrapText="1"/>
    </xf>
    <xf numFmtId="9" fontId="8" fillId="24" borderId="11" xfId="0" applyNumberFormat="1"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9" borderId="11" xfId="0" applyFont="1" applyFill="1" applyBorder="1" applyAlignment="1">
      <alignment horizontal="justify" vertical="center" wrapText="1"/>
    </xf>
    <xf numFmtId="0" fontId="14" fillId="29" borderId="11" xfId="0" applyFont="1" applyFill="1" applyBorder="1" applyAlignment="1">
      <alignment horizontal="center" vertical="center" wrapText="1"/>
    </xf>
    <xf numFmtId="0" fontId="8" fillId="29" borderId="11" xfId="0" applyFont="1" applyFill="1" applyBorder="1" applyAlignment="1">
      <alignment horizontal="center" vertical="center" wrapText="1"/>
    </xf>
    <xf numFmtId="9" fontId="8" fillId="29" borderId="11" xfId="0" applyNumberFormat="1" applyFont="1" applyFill="1" applyBorder="1" applyAlignment="1">
      <alignment horizontal="center" vertical="center" wrapText="1"/>
    </xf>
    <xf numFmtId="0" fontId="7" fillId="32" borderId="22" xfId="0" applyFont="1" applyFill="1" applyBorder="1" applyAlignment="1">
      <alignment horizontal="center" vertical="center"/>
    </xf>
    <xf numFmtId="168" fontId="7" fillId="32" borderId="3" xfId="1" applyNumberFormat="1" applyFont="1" applyFill="1" applyBorder="1" applyAlignment="1">
      <alignment horizontal="center" vertical="center"/>
    </xf>
    <xf numFmtId="43" fontId="7" fillId="32" borderId="3" xfId="1" applyFont="1" applyFill="1" applyBorder="1" applyAlignment="1">
      <alignment horizontal="center" vertical="center"/>
    </xf>
    <xf numFmtId="0" fontId="7" fillId="32" borderId="3" xfId="0" applyFont="1" applyFill="1" applyBorder="1" applyAlignment="1">
      <alignment horizontal="center" vertical="center"/>
    </xf>
    <xf numFmtId="168" fontId="6" fillId="32" borderId="3" xfId="1" applyNumberFormat="1" applyFont="1" applyFill="1" applyBorder="1" applyAlignment="1">
      <alignment horizontal="center" vertical="center"/>
    </xf>
    <xf numFmtId="0" fontId="8" fillId="16" borderId="11" xfId="0" applyFont="1" applyFill="1" applyBorder="1" applyAlignment="1">
      <alignment horizontal="justify" vertical="center" wrapText="1"/>
    </xf>
    <xf numFmtId="0" fontId="14" fillId="16" borderId="11" xfId="0" applyFont="1" applyFill="1" applyBorder="1" applyAlignment="1">
      <alignment horizontal="center" vertical="center" wrapText="1"/>
    </xf>
    <xf numFmtId="3" fontId="14" fillId="16" borderId="11" xfId="0" applyNumberFormat="1" applyFont="1" applyFill="1" applyBorder="1" applyAlignment="1">
      <alignment horizontal="center" vertical="center" wrapText="1"/>
    </xf>
    <xf numFmtId="0" fontId="8" fillId="16" borderId="11" xfId="0" applyFont="1" applyFill="1" applyBorder="1" applyAlignment="1">
      <alignment horizontal="center" vertical="center" wrapText="1"/>
    </xf>
    <xf numFmtId="0" fontId="8" fillId="31" borderId="11" xfId="0" applyFont="1" applyFill="1" applyBorder="1" applyAlignment="1">
      <alignment horizontal="left" vertical="center" wrapText="1"/>
    </xf>
    <xf numFmtId="0" fontId="8" fillId="31" borderId="11" xfId="0" applyFont="1" applyFill="1" applyBorder="1" applyAlignment="1">
      <alignment horizontal="center" vertical="center" wrapText="1"/>
    </xf>
    <xf numFmtId="0" fontId="8" fillId="31" borderId="11" xfId="0" applyFont="1" applyFill="1" applyBorder="1" applyAlignment="1">
      <alignment horizontal="center" vertical="center"/>
    </xf>
    <xf numFmtId="168" fontId="8" fillId="31" borderId="11" xfId="1" applyNumberFormat="1" applyFont="1" applyFill="1" applyBorder="1" applyAlignment="1">
      <alignment horizontal="center" vertical="center"/>
    </xf>
    <xf numFmtId="0" fontId="8" fillId="16" borderId="11" xfId="0" applyFont="1" applyFill="1" applyBorder="1" applyAlignment="1">
      <alignment horizontal="left" vertical="center" wrapText="1"/>
    </xf>
    <xf numFmtId="0" fontId="14" fillId="16" borderId="11" xfId="0" applyFont="1" applyFill="1" applyBorder="1" applyAlignment="1">
      <alignment horizontal="left" vertical="center" wrapText="1"/>
    </xf>
    <xf numFmtId="0" fontId="8" fillId="31" borderId="11" xfId="0" applyFont="1" applyFill="1" applyBorder="1" applyAlignment="1">
      <alignment vertical="center" wrapText="1"/>
    </xf>
    <xf numFmtId="0" fontId="8" fillId="31" borderId="11" xfId="0" applyFont="1" applyFill="1" applyBorder="1" applyAlignment="1">
      <alignment wrapText="1"/>
    </xf>
    <xf numFmtId="0" fontId="8" fillId="16" borderId="11" xfId="0" applyFont="1" applyFill="1" applyBorder="1" applyAlignment="1">
      <alignment wrapText="1"/>
    </xf>
    <xf numFmtId="0" fontId="8" fillId="16" borderId="26" xfId="0" applyFont="1" applyFill="1" applyBorder="1" applyAlignment="1">
      <alignment horizontal="justify" vertical="center" wrapText="1"/>
    </xf>
    <xf numFmtId="0" fontId="8" fillId="16" borderId="26" xfId="0" applyFont="1" applyFill="1" applyBorder="1" applyAlignment="1">
      <alignment horizontal="center" vertical="center" wrapText="1"/>
    </xf>
    <xf numFmtId="0" fontId="6" fillId="32" borderId="12" xfId="0" applyFont="1" applyFill="1" applyBorder="1" applyAlignment="1">
      <alignment horizontal="center" vertical="center"/>
    </xf>
    <xf numFmtId="0" fontId="8" fillId="35" borderId="11" xfId="0" applyFont="1" applyFill="1" applyBorder="1" applyAlignment="1">
      <alignment horizontal="justify" vertical="center" wrapText="1"/>
    </xf>
    <xf numFmtId="9" fontId="8" fillId="35" borderId="11" xfId="0" applyNumberFormat="1" applyFont="1" applyFill="1" applyBorder="1" applyAlignment="1">
      <alignment horizontal="center" vertical="center" wrapText="1"/>
    </xf>
    <xf numFmtId="0" fontId="8" fillId="37" borderId="30" xfId="0" applyFont="1" applyFill="1" applyBorder="1" applyAlignment="1">
      <alignment horizontal="center" vertical="center" wrapText="1"/>
    </xf>
    <xf numFmtId="9" fontId="8" fillId="37" borderId="30" xfId="0" applyNumberFormat="1" applyFont="1" applyFill="1" applyBorder="1" applyAlignment="1">
      <alignment horizontal="center" vertical="center"/>
    </xf>
    <xf numFmtId="0" fontId="8" fillId="37" borderId="23" xfId="0" applyFont="1" applyFill="1" applyBorder="1" applyAlignment="1">
      <alignment horizontal="left" vertical="center" wrapText="1"/>
    </xf>
    <xf numFmtId="0" fontId="8" fillId="37" borderId="1" xfId="0" applyFont="1" applyFill="1" applyBorder="1" applyAlignment="1">
      <alignment horizontal="left" vertical="center" wrapText="1"/>
    </xf>
    <xf numFmtId="0" fontId="8" fillId="37" borderId="7" xfId="0" applyFont="1" applyFill="1" applyBorder="1" applyAlignment="1">
      <alignment wrapText="1"/>
    </xf>
    <xf numFmtId="0" fontId="8" fillId="37" borderId="26" xfId="0" applyFont="1" applyFill="1" applyBorder="1" applyAlignment="1">
      <alignment horizontal="center" vertical="center" wrapText="1"/>
    </xf>
    <xf numFmtId="9" fontId="8" fillId="37" borderId="26" xfId="0" applyNumberFormat="1" applyFont="1" applyFill="1" applyBorder="1" applyAlignment="1">
      <alignment horizontal="center" vertical="center"/>
    </xf>
    <xf numFmtId="0" fontId="14" fillId="48" borderId="11" xfId="0" applyFont="1" applyFill="1" applyBorder="1" applyAlignment="1">
      <alignment horizontal="center" vertical="center" wrapText="1"/>
    </xf>
    <xf numFmtId="0" fontId="8" fillId="48" borderId="11" xfId="0" applyFont="1" applyFill="1" applyBorder="1" applyAlignment="1">
      <alignment horizontal="center" vertical="center" wrapText="1"/>
    </xf>
    <xf numFmtId="9" fontId="8" fillId="45" borderId="2" xfId="0" applyNumberFormat="1" applyFont="1" applyFill="1" applyBorder="1" applyAlignment="1">
      <alignment horizontal="center" vertical="center"/>
    </xf>
    <xf numFmtId="9" fontId="8" fillId="45" borderId="16" xfId="0" applyNumberFormat="1" applyFont="1" applyFill="1" applyBorder="1" applyAlignment="1">
      <alignment horizontal="left" vertical="center" wrapText="1"/>
    </xf>
    <xf numFmtId="1" fontId="8" fillId="45" borderId="16" xfId="0" applyNumberFormat="1" applyFont="1" applyFill="1" applyBorder="1" applyAlignment="1">
      <alignment horizontal="center" vertical="center" wrapText="1"/>
    </xf>
    <xf numFmtId="9" fontId="8" fillId="45" borderId="16" xfId="0" applyNumberFormat="1" applyFont="1" applyFill="1" applyBorder="1" applyAlignment="1">
      <alignment horizontal="center" vertical="center"/>
    </xf>
    <xf numFmtId="9" fontId="8" fillId="45" borderId="11" xfId="0" applyNumberFormat="1" applyFont="1" applyFill="1" applyBorder="1" applyAlignment="1">
      <alignment horizontal="center" vertical="center"/>
    </xf>
    <xf numFmtId="0" fontId="8" fillId="0" borderId="11" xfId="0" applyFont="1" applyFill="1" applyBorder="1" applyAlignment="1">
      <alignment horizontal="justify" vertical="center" wrapText="1"/>
    </xf>
    <xf numFmtId="0" fontId="14"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9" fontId="14"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45" borderId="11" xfId="0" applyFont="1" applyFill="1" applyBorder="1" applyAlignment="1">
      <alignment horizontal="justify" vertical="center" wrapText="1"/>
    </xf>
    <xf numFmtId="0" fontId="14" fillId="45" borderId="11" xfId="0" applyFont="1" applyFill="1" applyBorder="1" applyAlignment="1">
      <alignment horizontal="center" vertical="center" wrapText="1"/>
    </xf>
    <xf numFmtId="0" fontId="7" fillId="0" borderId="6" xfId="0" applyFont="1" applyBorder="1" applyAlignment="1">
      <alignment horizontal="left" vertical="center" wrapText="1"/>
    </xf>
    <xf numFmtId="0" fontId="8" fillId="5" borderId="11" xfId="0" applyFont="1" applyFill="1" applyBorder="1" applyAlignment="1">
      <alignment horizontal="left" vertical="center" wrapText="1"/>
    </xf>
    <xf numFmtId="164" fontId="11" fillId="0" borderId="6" xfId="0" applyNumberFormat="1" applyFont="1" applyBorder="1" applyAlignment="1">
      <alignment horizontal="center" vertical="center" wrapText="1"/>
    </xf>
    <xf numFmtId="164" fontId="11" fillId="0" borderId="7" xfId="3"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0" fontId="8" fillId="46" borderId="0" xfId="0" applyFont="1" applyFill="1" applyBorder="1" applyAlignment="1">
      <alignment horizontal="justify" vertical="center" wrapText="1"/>
    </xf>
    <xf numFmtId="0" fontId="8" fillId="46" borderId="0" xfId="0" applyFont="1" applyFill="1" applyBorder="1" applyAlignment="1">
      <alignment horizontal="center" vertical="center" wrapText="1"/>
    </xf>
    <xf numFmtId="41" fontId="14" fillId="0" borderId="11" xfId="2" applyFont="1" applyFill="1" applyBorder="1" applyAlignment="1">
      <alignment horizontal="center" vertical="center" wrapText="1"/>
    </xf>
    <xf numFmtId="164" fontId="0" fillId="0" borderId="0" xfId="0" applyNumberFormat="1" applyAlignment="1"/>
    <xf numFmtId="9" fontId="16" fillId="49" borderId="13" xfId="0" applyNumberFormat="1" applyFont="1" applyFill="1" applyBorder="1" applyAlignment="1">
      <alignment horizontal="left" vertical="center"/>
    </xf>
    <xf numFmtId="0" fontId="16" fillId="0" borderId="0" xfId="0" applyFont="1"/>
    <xf numFmtId="0" fontId="0" fillId="0" borderId="0" xfId="0" applyFont="1" applyAlignment="1"/>
    <xf numFmtId="9" fontId="16" fillId="49" borderId="6" xfId="0" applyNumberFormat="1" applyFont="1" applyFill="1" applyBorder="1" applyAlignment="1">
      <alignment horizontal="left" vertical="center"/>
    </xf>
    <xf numFmtId="0" fontId="0" fillId="42" borderId="48" xfId="0" applyFill="1" applyBorder="1" applyAlignment="1">
      <alignment vertical="top" wrapText="1"/>
    </xf>
    <xf numFmtId="0" fontId="20" fillId="42" borderId="48" xfId="0" applyFont="1" applyFill="1" applyBorder="1" applyAlignment="1">
      <alignment horizontal="center" vertical="center" wrapText="1"/>
    </xf>
    <xf numFmtId="9" fontId="0" fillId="42" borderId="48" xfId="0" applyNumberFormat="1" applyFont="1" applyFill="1" applyBorder="1" applyAlignment="1">
      <alignment horizontal="center" vertical="center" wrapText="1"/>
    </xf>
    <xf numFmtId="9" fontId="0" fillId="42" borderId="47" xfId="0" applyNumberFormat="1" applyFont="1" applyFill="1" applyBorder="1" applyAlignment="1">
      <alignment horizontal="center" vertical="center" wrapText="1"/>
    </xf>
    <xf numFmtId="9" fontId="0" fillId="43" borderId="13" xfId="0" applyNumberFormat="1" applyFont="1" applyFill="1" applyBorder="1" applyAlignment="1">
      <alignment horizontal="center" vertical="center"/>
    </xf>
    <xf numFmtId="0" fontId="0" fillId="44" borderId="13" xfId="0" applyFont="1" applyFill="1" applyBorder="1" applyAlignment="1">
      <alignment horizontal="left"/>
    </xf>
    <xf numFmtId="0" fontId="0" fillId="42" borderId="47" xfId="0" applyFont="1" applyFill="1" applyBorder="1" applyAlignment="1">
      <alignment horizontal="center" vertical="center" wrapText="1"/>
    </xf>
    <xf numFmtId="165" fontId="0" fillId="43" borderId="13" xfId="3" applyNumberFormat="1" applyFont="1" applyFill="1" applyBorder="1" applyAlignment="1">
      <alignment horizontal="center" vertical="center" wrapText="1"/>
    </xf>
    <xf numFmtId="165" fontId="0" fillId="44" borderId="13" xfId="3" applyNumberFormat="1" applyFont="1" applyFill="1" applyBorder="1" applyAlignment="1">
      <alignment horizontal="center" vertical="center" wrapText="1"/>
    </xf>
    <xf numFmtId="165" fontId="0" fillId="43" borderId="13" xfId="0" applyNumberFormat="1" applyFont="1" applyFill="1" applyBorder="1" applyAlignment="1">
      <alignment horizontal="center" vertical="center" wrapText="1"/>
    </xf>
    <xf numFmtId="9" fontId="0" fillId="44" borderId="13" xfId="7" applyFont="1" applyFill="1" applyBorder="1" applyAlignment="1">
      <alignment horizontal="center" vertical="center" wrapText="1"/>
    </xf>
    <xf numFmtId="165" fontId="0" fillId="43" borderId="13" xfId="0" applyNumberFormat="1" applyFont="1" applyFill="1" applyBorder="1" applyAlignment="1">
      <alignment horizontal="center"/>
    </xf>
    <xf numFmtId="0" fontId="0" fillId="42" borderId="16" xfId="0" applyFill="1" applyBorder="1" applyAlignment="1">
      <alignment vertical="top" wrapText="1"/>
    </xf>
    <xf numFmtId="9" fontId="0" fillId="42" borderId="23" xfId="0" applyNumberFormat="1" applyFont="1" applyFill="1" applyBorder="1" applyAlignment="1">
      <alignment horizontal="center" vertical="center" wrapText="1"/>
    </xf>
    <xf numFmtId="0" fontId="0" fillId="43" borderId="13" xfId="0" applyFont="1" applyFill="1" applyBorder="1" applyAlignment="1">
      <alignment horizontal="center" vertical="center"/>
    </xf>
    <xf numFmtId="0" fontId="0" fillId="42" borderId="23" xfId="0" applyFont="1" applyFill="1" applyBorder="1" applyAlignment="1">
      <alignment horizontal="center" vertical="center" wrapText="1"/>
    </xf>
    <xf numFmtId="0" fontId="0" fillId="42" borderId="13" xfId="0" applyFont="1" applyFill="1" applyBorder="1" applyAlignment="1">
      <alignment vertical="top" wrapText="1"/>
    </xf>
    <xf numFmtId="0" fontId="0" fillId="42" borderId="13" xfId="0" applyFont="1" applyFill="1" applyBorder="1" applyAlignment="1">
      <alignment horizontal="center" vertical="center" wrapText="1"/>
    </xf>
    <xf numFmtId="0" fontId="0" fillId="42" borderId="1" xfId="0" applyFont="1" applyFill="1" applyBorder="1" applyAlignment="1">
      <alignment horizontal="center" vertical="center" wrapText="1"/>
    </xf>
    <xf numFmtId="0" fontId="0" fillId="42" borderId="12" xfId="0" applyFont="1" applyFill="1" applyBorder="1" applyAlignment="1">
      <alignment vertical="top" wrapText="1"/>
    </xf>
    <xf numFmtId="0" fontId="20" fillId="42" borderId="20" xfId="0" applyFont="1" applyFill="1" applyBorder="1" applyAlignment="1">
      <alignment horizontal="center" vertical="center" wrapText="1"/>
    </xf>
    <xf numFmtId="1" fontId="0" fillId="42" borderId="6" xfId="0" applyNumberFormat="1" applyFont="1" applyFill="1" applyBorder="1" applyAlignment="1">
      <alignment horizontal="center" vertical="center" wrapText="1"/>
    </xf>
    <xf numFmtId="0" fontId="0" fillId="42" borderId="1" xfId="0" applyNumberFormat="1" applyFont="1" applyFill="1" applyBorder="1" applyAlignment="1">
      <alignment horizontal="center" vertical="center" wrapText="1"/>
    </xf>
    <xf numFmtId="165" fontId="0" fillId="44" borderId="1" xfId="3" applyNumberFormat="1" applyFont="1" applyFill="1" applyBorder="1" applyAlignment="1">
      <alignment horizontal="center" vertical="center" wrapText="1"/>
    </xf>
    <xf numFmtId="165" fontId="0" fillId="43" borderId="3" xfId="3" applyNumberFormat="1" applyFont="1" applyFill="1" applyBorder="1" applyAlignment="1">
      <alignment horizontal="center" vertical="center" wrapText="1"/>
    </xf>
    <xf numFmtId="0" fontId="0" fillId="42" borderId="17" xfId="0" applyFont="1" applyFill="1" applyBorder="1" applyAlignment="1">
      <alignment horizontal="center" vertical="center" wrapText="1"/>
    </xf>
    <xf numFmtId="165" fontId="6" fillId="27" borderId="15" xfId="0" applyNumberFormat="1" applyFont="1" applyFill="1" applyBorder="1" applyAlignment="1">
      <alignment horizontal="center"/>
    </xf>
    <xf numFmtId="0" fontId="8" fillId="0" borderId="50" xfId="0" applyFont="1" applyBorder="1" applyAlignment="1">
      <alignment horizontal="left" vertical="center" wrapText="1"/>
    </xf>
    <xf numFmtId="0" fontId="18" fillId="0" borderId="16" xfId="0" applyFont="1" applyBorder="1"/>
    <xf numFmtId="0" fontId="8" fillId="35" borderId="11" xfId="0" applyFont="1" applyFill="1" applyBorder="1" applyAlignment="1">
      <alignment horizontal="center" vertical="center" wrapText="1"/>
    </xf>
    <xf numFmtId="0" fontId="8" fillId="31" borderId="11" xfId="0" applyFont="1" applyFill="1" applyBorder="1" applyAlignment="1">
      <alignment horizontal="left" vertical="center" wrapText="1"/>
    </xf>
    <xf numFmtId="165" fontId="7" fillId="31" borderId="16" xfId="0" applyNumberFormat="1" applyFont="1" applyFill="1" applyBorder="1" applyAlignment="1">
      <alignment horizontal="center" vertical="center"/>
    </xf>
    <xf numFmtId="0" fontId="8" fillId="7" borderId="11" xfId="0" applyFont="1" applyFill="1" applyBorder="1" applyAlignment="1">
      <alignment horizontal="left" vertical="center" wrapText="1"/>
    </xf>
    <xf numFmtId="164" fontId="6" fillId="7" borderId="11" xfId="0" applyNumberFormat="1" applyFont="1" applyFill="1" applyBorder="1" applyAlignment="1">
      <alignment horizontal="center" vertical="center"/>
    </xf>
    <xf numFmtId="0" fontId="7" fillId="0" borderId="0" xfId="0" applyFont="1" applyAlignment="1"/>
    <xf numFmtId="164" fontId="6" fillId="7" borderId="26" xfId="0" applyNumberFormat="1" applyFont="1" applyFill="1" applyBorder="1" applyAlignment="1">
      <alignment horizontal="center" vertical="center"/>
    </xf>
    <xf numFmtId="164" fontId="6" fillId="7" borderId="11" xfId="0" applyNumberFormat="1" applyFont="1" applyFill="1" applyBorder="1" applyAlignment="1">
      <alignment horizontal="center" vertical="center"/>
    </xf>
    <xf numFmtId="0" fontId="8" fillId="22" borderId="11" xfId="0" applyFont="1" applyFill="1" applyBorder="1" applyAlignment="1">
      <alignment horizontal="left" vertical="center" wrapText="1"/>
    </xf>
    <xf numFmtId="0" fontId="8" fillId="24" borderId="11" xfId="0" applyFont="1" applyFill="1" applyBorder="1" applyAlignment="1">
      <alignment wrapText="1"/>
    </xf>
    <xf numFmtId="9" fontId="6" fillId="5" borderId="11" xfId="5" applyFont="1" applyFill="1" applyBorder="1" applyAlignment="1">
      <alignment horizontal="center" vertical="center" wrapText="1"/>
    </xf>
    <xf numFmtId="9" fontId="6" fillId="6" borderId="3" xfId="5" applyFont="1" applyFill="1" applyBorder="1" applyAlignment="1">
      <alignment horizontal="center" vertical="center"/>
    </xf>
    <xf numFmtId="9" fontId="6" fillId="5" borderId="81" xfId="0" applyNumberFormat="1" applyFont="1" applyFill="1" applyBorder="1" applyAlignment="1">
      <alignment horizontal="center" vertical="center"/>
    </xf>
    <xf numFmtId="9" fontId="6" fillId="5" borderId="23" xfId="0" applyNumberFormat="1" applyFont="1" applyFill="1" applyBorder="1" applyAlignment="1">
      <alignment horizontal="center" vertical="center"/>
    </xf>
    <xf numFmtId="164" fontId="6" fillId="6" borderId="23" xfId="0" applyNumberFormat="1" applyFont="1" applyFill="1" applyBorder="1" applyAlignment="1">
      <alignment horizontal="left" vertical="center"/>
    </xf>
    <xf numFmtId="9" fontId="8" fillId="7" borderId="26" xfId="0" applyNumberFormat="1" applyFont="1" applyFill="1" applyBorder="1" applyAlignment="1">
      <alignment horizontal="center" vertical="center" wrapText="1"/>
    </xf>
    <xf numFmtId="0" fontId="6" fillId="5" borderId="16" xfId="0" applyFont="1" applyFill="1" applyBorder="1" applyAlignment="1">
      <alignment horizontal="left" wrapText="1"/>
    </xf>
    <xf numFmtId="10" fontId="0" fillId="0" borderId="0" xfId="5" applyNumberFormat="1" applyFont="1"/>
    <xf numFmtId="9" fontId="0" fillId="42" borderId="16" xfId="5" applyFont="1" applyFill="1" applyBorder="1" applyAlignment="1">
      <alignment horizontal="center" vertical="center" wrapText="1"/>
    </xf>
    <xf numFmtId="9" fontId="0" fillId="43" borderId="13" xfId="5" applyFont="1" applyFill="1" applyBorder="1" applyAlignment="1">
      <alignment horizontal="center" vertical="center"/>
    </xf>
    <xf numFmtId="0" fontId="11" fillId="51" borderId="0" xfId="0" applyFont="1" applyFill="1" applyAlignment="1">
      <alignment horizontal="left"/>
    </xf>
    <xf numFmtId="0" fontId="22" fillId="0" borderId="0" xfId="0" applyFont="1" applyAlignment="1"/>
    <xf numFmtId="9" fontId="16" fillId="52" borderId="13" xfId="0" applyNumberFormat="1" applyFont="1" applyFill="1" applyBorder="1" applyAlignment="1">
      <alignment horizontal="center" vertical="center"/>
    </xf>
    <xf numFmtId="9" fontId="16" fillId="52" borderId="6" xfId="0" applyNumberFormat="1" applyFont="1" applyFill="1" applyBorder="1" applyAlignment="1">
      <alignment horizontal="center" vertical="center"/>
    </xf>
    <xf numFmtId="9" fontId="16" fillId="53" borderId="13" xfId="0" applyNumberFormat="1" applyFont="1" applyFill="1" applyBorder="1" applyAlignment="1">
      <alignment horizontal="center" vertical="center"/>
    </xf>
    <xf numFmtId="9" fontId="16" fillId="53" borderId="6" xfId="0" applyNumberFormat="1" applyFont="1" applyFill="1" applyBorder="1" applyAlignment="1">
      <alignment horizontal="center" vertical="center"/>
    </xf>
    <xf numFmtId="0" fontId="18" fillId="34" borderId="16" xfId="0" applyFont="1" applyFill="1" applyBorder="1"/>
    <xf numFmtId="0" fontId="16" fillId="34" borderId="0" xfId="0" applyFont="1" applyFill="1"/>
    <xf numFmtId="0" fontId="0" fillId="34" borderId="0" xfId="0" applyFont="1" applyFill="1" applyAlignment="1"/>
    <xf numFmtId="9" fontId="16" fillId="54" borderId="13" xfId="0" applyNumberFormat="1" applyFont="1" applyFill="1" applyBorder="1" applyAlignment="1">
      <alignment horizontal="center" vertical="center"/>
    </xf>
    <xf numFmtId="0" fontId="0" fillId="55" borderId="0" xfId="0" applyFont="1" applyFill="1" applyAlignment="1"/>
    <xf numFmtId="0" fontId="0" fillId="0" borderId="0" xfId="0" applyFont="1" applyFill="1" applyAlignment="1"/>
    <xf numFmtId="6" fontId="28" fillId="0" borderId="84" xfId="0" applyNumberFormat="1" applyFont="1" applyFill="1" applyBorder="1" applyAlignment="1">
      <alignment horizontal="center" vertical="center" wrapText="1" readingOrder="1"/>
    </xf>
    <xf numFmtId="0" fontId="7" fillId="56" borderId="13" xfId="0" applyFont="1" applyFill="1" applyBorder="1" applyAlignment="1">
      <alignment horizontal="left" vertical="center" wrapText="1"/>
    </xf>
    <xf numFmtId="0" fontId="7" fillId="56" borderId="13" xfId="0" applyFont="1" applyFill="1" applyBorder="1" applyAlignment="1">
      <alignment horizontal="center" vertical="center" wrapText="1"/>
    </xf>
    <xf numFmtId="9" fontId="16" fillId="56" borderId="13" xfId="0" applyNumberFormat="1" applyFont="1" applyFill="1" applyBorder="1" applyAlignment="1">
      <alignment horizontal="center" vertical="center" wrapText="1"/>
    </xf>
    <xf numFmtId="0" fontId="17" fillId="56" borderId="3" xfId="0" applyFont="1" applyFill="1" applyBorder="1" applyAlignment="1">
      <alignment horizontal="center" vertical="center"/>
    </xf>
    <xf numFmtId="9" fontId="17" fillId="56" borderId="13" xfId="5" applyFont="1" applyFill="1" applyBorder="1" applyAlignment="1">
      <alignment horizontal="center" vertical="center"/>
    </xf>
    <xf numFmtId="0" fontId="17" fillId="56" borderId="13" xfId="0" applyFont="1" applyFill="1" applyBorder="1" applyAlignment="1">
      <alignment horizontal="center" vertical="center"/>
    </xf>
    <xf numFmtId="0" fontId="17" fillId="56" borderId="13" xfId="0" applyFont="1" applyFill="1" applyBorder="1" applyAlignment="1">
      <alignment horizontal="left" vertical="center"/>
    </xf>
    <xf numFmtId="9" fontId="17" fillId="56" borderId="47" xfId="0" applyNumberFormat="1" applyFont="1" applyFill="1" applyBorder="1" applyAlignment="1">
      <alignment horizontal="center" vertical="center"/>
    </xf>
    <xf numFmtId="166" fontId="8" fillId="56" borderId="13" xfId="0" applyNumberFormat="1" applyFont="1" applyFill="1" applyBorder="1" applyAlignment="1">
      <alignment horizontal="center" vertical="center"/>
    </xf>
    <xf numFmtId="172" fontId="8" fillId="56" borderId="13" xfId="0" applyNumberFormat="1" applyFont="1" applyFill="1" applyBorder="1" applyAlignment="1">
      <alignment horizontal="center" vertical="center"/>
    </xf>
    <xf numFmtId="172" fontId="16" fillId="56" borderId="13" xfId="0" applyNumberFormat="1" applyFont="1" applyFill="1" applyBorder="1" applyAlignment="1">
      <alignment horizontal="center" vertical="center"/>
    </xf>
    <xf numFmtId="9" fontId="16" fillId="56" borderId="13" xfId="0" applyNumberFormat="1" applyFont="1" applyFill="1" applyBorder="1" applyAlignment="1">
      <alignment horizontal="center" vertical="center"/>
    </xf>
    <xf numFmtId="172" fontId="16" fillId="56" borderId="13" xfId="0" applyNumberFormat="1" applyFont="1" applyFill="1" applyBorder="1" applyAlignment="1">
      <alignment horizontal="center"/>
    </xf>
    <xf numFmtId="0" fontId="16" fillId="56" borderId="13" xfId="0" applyFont="1" applyFill="1" applyBorder="1" applyAlignment="1">
      <alignment horizontal="center" vertical="center" wrapText="1"/>
    </xf>
    <xf numFmtId="0" fontId="16" fillId="56" borderId="13" xfId="0" applyFont="1" applyFill="1" applyBorder="1" applyAlignment="1">
      <alignment horizontal="center" vertical="center"/>
    </xf>
    <xf numFmtId="9" fontId="17" fillId="56" borderId="1" xfId="0" applyNumberFormat="1" applyFont="1" applyFill="1" applyBorder="1" applyAlignment="1">
      <alignment horizontal="center" vertical="center"/>
    </xf>
    <xf numFmtId="0" fontId="16" fillId="56" borderId="13" xfId="0" applyFont="1" applyFill="1" applyBorder="1" applyAlignment="1">
      <alignment horizontal="left" vertical="center" wrapText="1"/>
    </xf>
    <xf numFmtId="0" fontId="7" fillId="56" borderId="3" xfId="0" applyFont="1" applyFill="1" applyBorder="1" applyAlignment="1">
      <alignment horizontal="center" vertical="center" wrapText="1"/>
    </xf>
    <xf numFmtId="0" fontId="16" fillId="56" borderId="14" xfId="0" applyFont="1" applyFill="1" applyBorder="1" applyAlignment="1">
      <alignment horizontal="center" vertical="center" wrapText="1"/>
    </xf>
    <xf numFmtId="0" fontId="16" fillId="56" borderId="15" xfId="0" applyFont="1" applyFill="1" applyBorder="1" applyAlignment="1">
      <alignment horizontal="center" vertical="center"/>
    </xf>
    <xf numFmtId="0" fontId="16" fillId="56" borderId="17" xfId="0" applyFont="1" applyFill="1" applyBorder="1" applyAlignment="1">
      <alignment horizontal="center" vertical="center"/>
    </xf>
    <xf numFmtId="9" fontId="16" fillId="56" borderId="1" xfId="0" applyNumberFormat="1" applyFont="1" applyFill="1" applyBorder="1" applyAlignment="1">
      <alignment horizontal="center" vertical="center"/>
    </xf>
    <xf numFmtId="0" fontId="8" fillId="56" borderId="13" xfId="0" applyFont="1" applyFill="1" applyBorder="1" applyAlignment="1">
      <alignment horizontal="center" vertical="center" wrapText="1"/>
    </xf>
    <xf numFmtId="0" fontId="8" fillId="56" borderId="3" xfId="0" applyFont="1" applyFill="1" applyBorder="1" applyAlignment="1">
      <alignment horizontal="center" vertical="center"/>
    </xf>
    <xf numFmtId="1" fontId="17" fillId="56" borderId="1" xfId="0" applyNumberFormat="1" applyFont="1" applyFill="1" applyBorder="1" applyAlignment="1">
      <alignment horizontal="center" vertical="center"/>
    </xf>
    <xf numFmtId="1" fontId="16" fillId="56" borderId="13" xfId="0" applyNumberFormat="1" applyFont="1" applyFill="1" applyBorder="1" applyAlignment="1">
      <alignment horizontal="center" vertical="center"/>
    </xf>
    <xf numFmtId="166" fontId="16" fillId="56" borderId="13" xfId="0" applyNumberFormat="1" applyFont="1" applyFill="1" applyBorder="1" applyAlignment="1">
      <alignment horizontal="center" vertical="center"/>
    </xf>
    <xf numFmtId="0" fontId="7" fillId="56" borderId="6" xfId="0" applyFont="1" applyFill="1" applyBorder="1" applyAlignment="1">
      <alignment horizontal="left" vertical="center" wrapText="1"/>
    </xf>
    <xf numFmtId="9" fontId="17" fillId="56" borderId="3" xfId="0" applyNumberFormat="1" applyFont="1" applyFill="1" applyBorder="1" applyAlignment="1">
      <alignment horizontal="center" vertical="center"/>
    </xf>
    <xf numFmtId="9" fontId="17" fillId="56" borderId="13" xfId="0" applyNumberFormat="1" applyFont="1" applyFill="1" applyBorder="1" applyAlignment="1">
      <alignment horizontal="center" vertical="center"/>
    </xf>
    <xf numFmtId="172" fontId="16" fillId="56" borderId="6" xfId="0" applyNumberFormat="1" applyFont="1" applyFill="1" applyBorder="1" applyAlignment="1">
      <alignment horizontal="center" vertical="center"/>
    </xf>
    <xf numFmtId="9" fontId="16" fillId="56" borderId="6" xfId="0" applyNumberFormat="1" applyFont="1" applyFill="1" applyBorder="1" applyAlignment="1">
      <alignment horizontal="center" vertical="center"/>
    </xf>
    <xf numFmtId="172" fontId="16" fillId="56" borderId="6" xfId="0" applyNumberFormat="1" applyFont="1" applyFill="1" applyBorder="1" applyAlignment="1">
      <alignment horizontal="center"/>
    </xf>
    <xf numFmtId="0" fontId="6" fillId="56" borderId="13" xfId="0" applyFont="1" applyFill="1" applyBorder="1" applyAlignment="1">
      <alignment horizontal="center" vertical="center" wrapText="1"/>
    </xf>
    <xf numFmtId="3" fontId="16" fillId="56" borderId="13" xfId="0" applyNumberFormat="1" applyFont="1" applyFill="1" applyBorder="1" applyAlignment="1">
      <alignment horizontal="center" vertical="center" wrapText="1"/>
    </xf>
    <xf numFmtId="0" fontId="17" fillId="56" borderId="1" xfId="0" applyFont="1" applyFill="1" applyBorder="1" applyAlignment="1">
      <alignment horizontal="center" vertical="center"/>
    </xf>
    <xf numFmtId="165" fontId="16" fillId="56" borderId="13" xfId="0" applyNumberFormat="1" applyFont="1" applyFill="1" applyBorder="1" applyAlignment="1">
      <alignment horizontal="center" vertical="center"/>
    </xf>
    <xf numFmtId="9" fontId="16" fillId="56" borderId="13" xfId="5" applyNumberFormat="1" applyFont="1" applyFill="1" applyBorder="1" applyAlignment="1">
      <alignment horizontal="center" vertical="center" wrapText="1"/>
    </xf>
    <xf numFmtId="9" fontId="16" fillId="56" borderId="13" xfId="5" applyFont="1" applyFill="1" applyBorder="1" applyAlignment="1">
      <alignment horizontal="center" vertical="center" wrapText="1"/>
    </xf>
    <xf numFmtId="9" fontId="17" fillId="56" borderId="3" xfId="5" applyFont="1" applyFill="1" applyBorder="1" applyAlignment="1">
      <alignment horizontal="center" vertical="center"/>
    </xf>
    <xf numFmtId="0" fontId="7" fillId="56" borderId="11" xfId="0" applyFont="1" applyFill="1" applyBorder="1" applyAlignment="1">
      <alignment horizontal="left" vertical="center" wrapText="1"/>
    </xf>
    <xf numFmtId="0" fontId="16" fillId="56" borderId="3" xfId="0" applyFont="1" applyFill="1" applyBorder="1" applyAlignment="1">
      <alignment horizontal="center" vertical="center" wrapText="1"/>
    </xf>
    <xf numFmtId="172" fontId="16" fillId="56" borderId="11" xfId="0" applyNumberFormat="1" applyFont="1" applyFill="1" applyBorder="1" applyAlignment="1">
      <alignment vertical="center"/>
    </xf>
    <xf numFmtId="172" fontId="16" fillId="56" borderId="11" xfId="0" applyNumberFormat="1" applyFont="1" applyFill="1" applyBorder="1" applyAlignment="1"/>
    <xf numFmtId="172" fontId="16" fillId="56" borderId="11" xfId="0" applyNumberFormat="1" applyFont="1" applyFill="1" applyBorder="1" applyAlignment="1">
      <alignment horizontal="center" vertical="center"/>
    </xf>
    <xf numFmtId="0" fontId="6" fillId="35" borderId="11" xfId="0" applyFont="1" applyFill="1" applyBorder="1" applyAlignment="1">
      <alignment wrapText="1"/>
    </xf>
    <xf numFmtId="172" fontId="16" fillId="56" borderId="11" xfId="0" applyNumberFormat="1" applyFont="1" applyFill="1" applyBorder="1" applyAlignment="1">
      <alignment horizontal="center"/>
    </xf>
    <xf numFmtId="0" fontId="7" fillId="56" borderId="16" xfId="0" applyFont="1" applyFill="1" applyBorder="1" applyAlignment="1">
      <alignment horizontal="left" vertical="center" wrapText="1"/>
    </xf>
    <xf numFmtId="172" fontId="16" fillId="56" borderId="16" xfId="0" applyNumberFormat="1" applyFont="1" applyFill="1" applyBorder="1" applyAlignment="1">
      <alignment horizontal="center" vertical="center"/>
    </xf>
    <xf numFmtId="9" fontId="16" fillId="56" borderId="11" xfId="0" applyNumberFormat="1" applyFont="1" applyFill="1" applyBorder="1" applyAlignment="1">
      <alignment horizontal="center" vertical="center"/>
    </xf>
    <xf numFmtId="0" fontId="16" fillId="56" borderId="13" xfId="0" applyFont="1" applyFill="1" applyBorder="1" applyAlignment="1">
      <alignment horizontal="left" vertical="center"/>
    </xf>
    <xf numFmtId="0" fontId="17" fillId="56" borderId="6" xfId="0" applyFont="1" applyFill="1" applyBorder="1" applyAlignment="1">
      <alignment horizontal="center" vertical="center"/>
    </xf>
    <xf numFmtId="0" fontId="17" fillId="56" borderId="6" xfId="0" applyFont="1" applyFill="1" applyBorder="1" applyAlignment="1">
      <alignment horizontal="left" vertical="center"/>
    </xf>
    <xf numFmtId="0" fontId="17" fillId="56" borderId="7" xfId="0" applyFont="1" applyFill="1" applyBorder="1" applyAlignment="1">
      <alignment horizontal="center" vertical="center"/>
    </xf>
    <xf numFmtId="172" fontId="16" fillId="56" borderId="16" xfId="0" applyNumberFormat="1" applyFont="1" applyFill="1" applyBorder="1" applyAlignment="1">
      <alignment horizontal="center"/>
    </xf>
    <xf numFmtId="9" fontId="16" fillId="56" borderId="16" xfId="0" applyNumberFormat="1" applyFont="1" applyFill="1" applyBorder="1" applyAlignment="1">
      <alignment horizontal="center" vertical="center"/>
    </xf>
    <xf numFmtId="0" fontId="7" fillId="56" borderId="14" xfId="0" applyFont="1" applyFill="1" applyBorder="1" applyAlignment="1">
      <alignment horizontal="center" vertical="center" wrapText="1"/>
    </xf>
    <xf numFmtId="0" fontId="0" fillId="35" borderId="0" xfId="0" applyFill="1" applyAlignment="1">
      <alignment horizontal="center" vertical="center"/>
    </xf>
    <xf numFmtId="1" fontId="16" fillId="56" borderId="15" xfId="2" applyNumberFormat="1" applyFont="1" applyFill="1" applyBorder="1" applyAlignment="1">
      <alignment horizontal="center" vertical="center" wrapText="1"/>
    </xf>
    <xf numFmtId="1" fontId="6" fillId="56" borderId="0" xfId="0" applyNumberFormat="1" applyFont="1" applyFill="1" applyBorder="1" applyAlignment="1">
      <alignment horizontal="center" vertical="center"/>
    </xf>
    <xf numFmtId="0" fontId="0" fillId="35" borderId="11" xfId="0" applyFill="1" applyBorder="1"/>
    <xf numFmtId="172" fontId="7" fillId="56" borderId="11" xfId="0" applyNumberFormat="1" applyFont="1" applyFill="1" applyBorder="1" applyAlignment="1">
      <alignment horizontal="center" vertical="center"/>
    </xf>
    <xf numFmtId="164" fontId="8" fillId="35" borderId="11" xfId="3" applyNumberFormat="1" applyFont="1" applyFill="1" applyBorder="1" applyAlignment="1">
      <alignment horizontal="center" vertical="center"/>
    </xf>
    <xf numFmtId="164" fontId="8" fillId="47" borderId="13" xfId="0" applyNumberFormat="1" applyFont="1" applyFill="1" applyBorder="1" applyAlignment="1">
      <alignment horizontal="center" vertical="center"/>
    </xf>
    <xf numFmtId="9" fontId="8" fillId="35" borderId="13" xfId="7" applyFont="1" applyFill="1" applyBorder="1" applyAlignment="1">
      <alignment horizontal="center" vertical="center"/>
    </xf>
    <xf numFmtId="9" fontId="6" fillId="35" borderId="37" xfId="0" applyNumberFormat="1" applyFont="1" applyFill="1" applyBorder="1" applyAlignment="1">
      <alignment horizontal="center" vertical="center"/>
    </xf>
    <xf numFmtId="9" fontId="6" fillId="35" borderId="30" xfId="0" applyNumberFormat="1" applyFont="1" applyFill="1" applyBorder="1" applyAlignment="1">
      <alignment horizontal="center" vertical="center"/>
    </xf>
    <xf numFmtId="0" fontId="6" fillId="35" borderId="16" xfId="0" applyFont="1" applyFill="1" applyBorder="1" applyAlignment="1">
      <alignment horizontal="left" vertical="center"/>
    </xf>
    <xf numFmtId="9" fontId="6" fillId="50" borderId="23" xfId="0" applyNumberFormat="1" applyFont="1" applyFill="1" applyBorder="1" applyAlignment="1">
      <alignment horizontal="center" vertical="center"/>
    </xf>
    <xf numFmtId="164" fontId="8" fillId="47" borderId="16" xfId="0" applyNumberFormat="1" applyFont="1" applyFill="1" applyBorder="1" applyAlignment="1">
      <alignment horizontal="center" vertical="center"/>
    </xf>
    <xf numFmtId="164" fontId="8" fillId="35" borderId="30" xfId="0" applyNumberFormat="1" applyFont="1" applyFill="1" applyBorder="1" applyAlignment="1">
      <alignment horizontal="center" vertical="center"/>
    </xf>
    <xf numFmtId="9" fontId="6" fillId="47" borderId="3" xfId="7" applyFont="1" applyFill="1" applyBorder="1" applyAlignment="1">
      <alignment horizontal="center" vertical="center"/>
    </xf>
    <xf numFmtId="9" fontId="6" fillId="47" borderId="13" xfId="7" applyFont="1" applyFill="1" applyBorder="1" applyAlignment="1">
      <alignment horizontal="center" vertical="center"/>
    </xf>
    <xf numFmtId="9" fontId="6" fillId="35" borderId="13" xfId="7" applyFont="1" applyFill="1" applyBorder="1" applyAlignment="1">
      <alignment horizontal="left" vertical="center"/>
    </xf>
    <xf numFmtId="9" fontId="6" fillId="57" borderId="1" xfId="7" applyFont="1" applyFill="1" applyBorder="1" applyAlignment="1">
      <alignment horizontal="center" vertical="center"/>
    </xf>
    <xf numFmtId="164" fontId="8" fillId="47" borderId="13" xfId="4" applyNumberFormat="1" applyFont="1" applyFill="1" applyBorder="1" applyAlignment="1">
      <alignment horizontal="center" vertical="center"/>
    </xf>
    <xf numFmtId="164" fontId="8" fillId="35" borderId="13" xfId="4" applyNumberFormat="1" applyFont="1" applyFill="1" applyBorder="1" applyAlignment="1">
      <alignment horizontal="center" vertical="center"/>
    </xf>
    <xf numFmtId="164" fontId="8" fillId="47" borderId="13" xfId="0" applyNumberFormat="1" applyFont="1" applyFill="1" applyBorder="1" applyAlignment="1">
      <alignment horizontal="center"/>
    </xf>
    <xf numFmtId="0" fontId="6" fillId="47" borderId="3" xfId="0" applyFont="1" applyFill="1" applyBorder="1" applyAlignment="1">
      <alignment horizontal="center" vertical="center"/>
    </xf>
    <xf numFmtId="0" fontId="6" fillId="47" borderId="13" xfId="0" applyFont="1" applyFill="1" applyBorder="1" applyAlignment="1">
      <alignment horizontal="center" vertical="center"/>
    </xf>
    <xf numFmtId="0" fontId="6" fillId="35" borderId="13" xfId="0" applyFont="1" applyFill="1" applyBorder="1" applyAlignment="1">
      <alignment horizontal="left" vertical="center"/>
    </xf>
    <xf numFmtId="0" fontId="6" fillId="57" borderId="1" xfId="0" applyFont="1" applyFill="1" applyBorder="1" applyAlignment="1">
      <alignment horizontal="center" vertical="center"/>
    </xf>
    <xf numFmtId="0" fontId="8" fillId="35" borderId="26" xfId="0" applyFont="1" applyFill="1" applyBorder="1" applyAlignment="1">
      <alignment horizontal="justify" vertical="center" wrapText="1"/>
    </xf>
    <xf numFmtId="0" fontId="8" fillId="35" borderId="26" xfId="0" applyFont="1" applyFill="1" applyBorder="1" applyAlignment="1">
      <alignment horizontal="center" vertical="center" wrapText="1"/>
    </xf>
    <xf numFmtId="0" fontId="6" fillId="47" borderId="12" xfId="0" applyFont="1" applyFill="1" applyBorder="1" applyAlignment="1">
      <alignment horizontal="center" vertical="center"/>
    </xf>
    <xf numFmtId="0" fontId="6" fillId="59" borderId="11" xfId="0" applyFont="1" applyFill="1" applyBorder="1" applyAlignment="1">
      <alignment wrapText="1"/>
    </xf>
    <xf numFmtId="164" fontId="8" fillId="60" borderId="13" xfId="0" applyNumberFormat="1" applyFont="1" applyFill="1" applyBorder="1" applyAlignment="1">
      <alignment horizontal="center" vertical="center"/>
    </xf>
    <xf numFmtId="164" fontId="8" fillId="60" borderId="13" xfId="0" applyNumberFormat="1" applyFont="1" applyFill="1" applyBorder="1" applyAlignment="1">
      <alignment horizontal="center"/>
    </xf>
    <xf numFmtId="0" fontId="8" fillId="14" borderId="11" xfId="0" applyFont="1" applyFill="1" applyBorder="1" applyAlignment="1">
      <alignment horizontal="justify" vertical="center" wrapText="1"/>
    </xf>
    <xf numFmtId="0" fontId="8" fillId="14" borderId="11" xfId="0" applyFont="1" applyFill="1" applyBorder="1" applyAlignment="1">
      <alignment horizontal="center" vertical="center" wrapText="1"/>
    </xf>
    <xf numFmtId="0" fontId="8" fillId="62" borderId="11" xfId="0" applyFont="1" applyFill="1" applyBorder="1" applyAlignment="1">
      <alignment horizontal="justify" vertical="center" wrapText="1"/>
    </xf>
    <xf numFmtId="0" fontId="8" fillId="62" borderId="11" xfId="0" applyFont="1" applyFill="1" applyBorder="1" applyAlignment="1">
      <alignment horizontal="center" vertical="center" wrapText="1"/>
    </xf>
    <xf numFmtId="164" fontId="8" fillId="62" borderId="13" xfId="4" applyNumberFormat="1" applyFont="1" applyFill="1" applyBorder="1" applyAlignment="1">
      <alignment horizontal="center" vertical="center"/>
    </xf>
    <xf numFmtId="164" fontId="8" fillId="0" borderId="0" xfId="0" applyNumberFormat="1" applyFont="1" applyFill="1" applyAlignment="1">
      <alignment horizontal="center"/>
    </xf>
    <xf numFmtId="0" fontId="23" fillId="67" borderId="11" xfId="0" applyFont="1" applyFill="1" applyBorder="1" applyAlignment="1">
      <alignment horizontal="left" vertical="center" wrapText="1"/>
    </xf>
    <xf numFmtId="0" fontId="22" fillId="67" borderId="11" xfId="0" applyFont="1" applyFill="1" applyBorder="1" applyAlignment="1">
      <alignment horizontal="center" vertical="center" wrapText="1"/>
    </xf>
    <xf numFmtId="9" fontId="22" fillId="67" borderId="11" xfId="0" applyNumberFormat="1" applyFont="1" applyFill="1" applyBorder="1" applyAlignment="1">
      <alignment horizontal="center" vertical="center" wrapText="1"/>
    </xf>
    <xf numFmtId="9" fontId="22" fillId="68" borderId="11" xfId="0" applyNumberFormat="1" applyFont="1" applyFill="1" applyBorder="1" applyAlignment="1">
      <alignment horizontal="left" vertical="center" wrapText="1"/>
    </xf>
    <xf numFmtId="0" fontId="22" fillId="68" borderId="11" xfId="0" applyFont="1" applyFill="1" applyBorder="1" applyAlignment="1">
      <alignment horizontal="left" vertical="center" wrapText="1"/>
    </xf>
    <xf numFmtId="0" fontId="22" fillId="69" borderId="0" xfId="0" applyFont="1" applyFill="1" applyAlignment="1"/>
    <xf numFmtId="168" fontId="22" fillId="68" borderId="11" xfId="1" applyNumberFormat="1" applyFont="1" applyFill="1" applyBorder="1" applyAlignment="1">
      <alignment horizontal="left" vertical="center" wrapText="1"/>
    </xf>
    <xf numFmtId="168" fontId="22" fillId="69" borderId="11" xfId="1" applyNumberFormat="1" applyFont="1" applyFill="1" applyBorder="1" applyAlignment="1">
      <alignment horizontal="left" vertical="center" wrapText="1"/>
    </xf>
    <xf numFmtId="0" fontId="22" fillId="69" borderId="11" xfId="0" applyFont="1" applyFill="1" applyBorder="1" applyAlignment="1">
      <alignment horizontal="left" vertical="center" wrapText="1"/>
    </xf>
    <xf numFmtId="0" fontId="22" fillId="67" borderId="11" xfId="0" applyFont="1" applyFill="1" applyBorder="1" applyAlignment="1">
      <alignment horizontal="left" vertical="center" wrapText="1"/>
    </xf>
    <xf numFmtId="9" fontId="22" fillId="68" borderId="11" xfId="7" applyFont="1" applyFill="1" applyBorder="1" applyAlignment="1">
      <alignment horizontal="left" vertical="center" wrapText="1"/>
    </xf>
    <xf numFmtId="0" fontId="22" fillId="69" borderId="11" xfId="0" applyFont="1" applyFill="1" applyBorder="1" applyAlignment="1">
      <alignment horizontal="center" vertical="center" wrapText="1"/>
    </xf>
    <xf numFmtId="9" fontId="22" fillId="67" borderId="11" xfId="7" applyFont="1" applyFill="1" applyBorder="1" applyAlignment="1">
      <alignment horizontal="center" vertical="center" wrapText="1"/>
    </xf>
    <xf numFmtId="1" fontId="22" fillId="67" borderId="11" xfId="0" applyNumberFormat="1" applyFont="1" applyFill="1" applyBorder="1" applyAlignment="1">
      <alignment horizontal="center" vertical="center" wrapText="1"/>
    </xf>
    <xf numFmtId="1" fontId="22" fillId="67" borderId="11" xfId="0" applyNumberFormat="1" applyFont="1" applyFill="1" applyBorder="1" applyAlignment="1">
      <alignment horizontal="left" vertical="center" wrapText="1"/>
    </xf>
    <xf numFmtId="0" fontId="24" fillId="69" borderId="11" xfId="0" applyFont="1" applyFill="1" applyBorder="1" applyAlignment="1">
      <alignment horizontal="left" vertical="center" wrapText="1"/>
    </xf>
    <xf numFmtId="0" fontId="23" fillId="67" borderId="11" xfId="0" applyFont="1" applyFill="1" applyBorder="1" applyAlignment="1">
      <alignment horizontal="center" vertical="center" wrapText="1"/>
    </xf>
    <xf numFmtId="173" fontId="22" fillId="69" borderId="11" xfId="1" applyNumberFormat="1" applyFont="1" applyFill="1" applyBorder="1" applyAlignment="1">
      <alignment vertical="center" wrapText="1"/>
    </xf>
    <xf numFmtId="9" fontId="22" fillId="67" borderId="11" xfId="0" applyNumberFormat="1" applyFont="1" applyFill="1" applyBorder="1" applyAlignment="1">
      <alignment horizontal="left" vertical="center" wrapText="1"/>
    </xf>
    <xf numFmtId="3" fontId="22" fillId="69" borderId="11" xfId="0" applyNumberFormat="1" applyFont="1" applyFill="1" applyBorder="1" applyAlignment="1">
      <alignment vertical="center" wrapText="1"/>
    </xf>
    <xf numFmtId="3" fontId="22" fillId="67" borderId="11" xfId="0" applyNumberFormat="1" applyFont="1" applyFill="1" applyBorder="1" applyAlignment="1">
      <alignment horizontal="center" vertical="center" wrapText="1"/>
    </xf>
    <xf numFmtId="0" fontId="22" fillId="67" borderId="30" xfId="0" applyFont="1" applyFill="1" applyBorder="1" applyAlignment="1">
      <alignment horizontal="left" vertical="center" wrapText="1"/>
    </xf>
    <xf numFmtId="9" fontId="22" fillId="67" borderId="30" xfId="0" applyNumberFormat="1" applyFont="1" applyFill="1" applyBorder="1" applyAlignment="1">
      <alignment horizontal="center" vertical="center" wrapText="1"/>
    </xf>
    <xf numFmtId="9" fontId="22" fillId="67" borderId="30" xfId="0" applyNumberFormat="1" applyFont="1" applyFill="1" applyBorder="1" applyAlignment="1">
      <alignment horizontal="left" vertical="center" wrapText="1"/>
    </xf>
    <xf numFmtId="9" fontId="23" fillId="67" borderId="30" xfId="0" applyNumberFormat="1" applyFont="1" applyFill="1" applyBorder="1" applyAlignment="1">
      <alignment horizontal="left" vertical="center" wrapText="1"/>
    </xf>
    <xf numFmtId="0" fontId="23" fillId="67" borderId="26" xfId="0" applyFont="1" applyFill="1" applyBorder="1" applyAlignment="1">
      <alignment horizontal="left" vertical="center" wrapText="1"/>
    </xf>
    <xf numFmtId="9" fontId="22" fillId="67" borderId="26" xfId="0" applyNumberFormat="1" applyFont="1" applyFill="1" applyBorder="1" applyAlignment="1">
      <alignment horizontal="center" vertical="center" wrapText="1"/>
    </xf>
    <xf numFmtId="9" fontId="22" fillId="67" borderId="26" xfId="0" applyNumberFormat="1" applyFont="1" applyFill="1" applyBorder="1" applyAlignment="1">
      <alignment horizontal="left" vertical="center" wrapText="1"/>
    </xf>
    <xf numFmtId="9" fontId="23" fillId="67" borderId="26" xfId="0" applyNumberFormat="1" applyFont="1" applyFill="1" applyBorder="1" applyAlignment="1">
      <alignment horizontal="left" vertical="center" wrapText="1"/>
    </xf>
    <xf numFmtId="9" fontId="23" fillId="67" borderId="11" xfId="0" applyNumberFormat="1" applyFont="1" applyFill="1" applyBorder="1" applyAlignment="1">
      <alignment horizontal="center" vertical="center" wrapText="1"/>
    </xf>
    <xf numFmtId="0" fontId="22" fillId="67" borderId="11" xfId="0" applyNumberFormat="1" applyFont="1" applyFill="1" applyBorder="1" applyAlignment="1">
      <alignment horizontal="center" vertical="center" wrapText="1"/>
    </xf>
    <xf numFmtId="173" fontId="22" fillId="69" borderId="11" xfId="1" applyNumberFormat="1" applyFont="1" applyFill="1" applyBorder="1" applyAlignment="1">
      <alignment vertical="center"/>
    </xf>
    <xf numFmtId="0" fontId="8" fillId="74" borderId="3" xfId="0" applyFont="1" applyFill="1" applyBorder="1" applyAlignment="1">
      <alignment horizontal="center" vertical="center"/>
    </xf>
    <xf numFmtId="0" fontId="8" fillId="74" borderId="13" xfId="0" applyFont="1" applyFill="1" applyBorder="1" applyAlignment="1">
      <alignment horizontal="center" vertical="center"/>
    </xf>
    <xf numFmtId="0" fontId="8" fillId="48" borderId="13" xfId="0" applyFont="1" applyFill="1" applyBorder="1" applyAlignment="1">
      <alignment horizontal="left"/>
    </xf>
    <xf numFmtId="0" fontId="8" fillId="73" borderId="23" xfId="0" applyFont="1" applyFill="1" applyBorder="1" applyAlignment="1">
      <alignment horizontal="center" vertical="center"/>
    </xf>
    <xf numFmtId="164" fontId="8" fillId="74" borderId="13" xfId="0" applyNumberFormat="1" applyFont="1" applyFill="1" applyBorder="1" applyAlignment="1">
      <alignment horizontal="center" vertical="center"/>
    </xf>
    <xf numFmtId="164" fontId="8" fillId="48" borderId="13" xfId="0" applyNumberFormat="1" applyFont="1" applyFill="1" applyBorder="1" applyAlignment="1">
      <alignment horizontal="center" vertical="center"/>
    </xf>
    <xf numFmtId="9" fontId="8" fillId="48" borderId="13" xfId="5" applyFont="1" applyFill="1" applyBorder="1" applyAlignment="1">
      <alignment horizontal="center" vertical="center"/>
    </xf>
    <xf numFmtId="164" fontId="8" fillId="74" borderId="13" xfId="0" applyNumberFormat="1" applyFont="1" applyFill="1" applyBorder="1" applyAlignment="1">
      <alignment horizontal="center"/>
    </xf>
    <xf numFmtId="0" fontId="8" fillId="73" borderId="1" xfId="0" applyFont="1" applyFill="1" applyBorder="1" applyAlignment="1">
      <alignment horizontal="center" vertical="center"/>
    </xf>
    <xf numFmtId="0" fontId="8" fillId="73" borderId="13" xfId="0" applyFont="1" applyFill="1" applyBorder="1" applyAlignment="1">
      <alignment horizontal="left" vertical="center" wrapText="1"/>
    </xf>
    <xf numFmtId="0" fontId="7" fillId="73" borderId="13" xfId="0" applyFont="1" applyFill="1" applyBorder="1" applyAlignment="1">
      <alignment horizontal="left" vertical="center" wrapText="1"/>
    </xf>
    <xf numFmtId="0" fontId="8" fillId="73" borderId="13" xfId="0" applyFont="1" applyFill="1" applyBorder="1" applyAlignment="1">
      <alignment horizontal="center" vertical="center"/>
    </xf>
    <xf numFmtId="41" fontId="8" fillId="74" borderId="3" xfId="2" applyFont="1" applyFill="1" applyBorder="1" applyAlignment="1">
      <alignment horizontal="center" vertical="center"/>
    </xf>
    <xf numFmtId="41" fontId="8" fillId="74" borderId="13" xfId="2" applyFont="1" applyFill="1" applyBorder="1" applyAlignment="1">
      <alignment horizontal="center" vertical="center"/>
    </xf>
    <xf numFmtId="9" fontId="8" fillId="73" borderId="1" xfId="0" applyNumberFormat="1" applyFont="1" applyFill="1" applyBorder="1" applyAlignment="1">
      <alignment horizontal="center" vertical="center"/>
    </xf>
    <xf numFmtId="9" fontId="8" fillId="73" borderId="51" xfId="0" applyNumberFormat="1" applyFont="1" applyFill="1" applyBorder="1" applyAlignment="1">
      <alignment horizontal="center" vertical="center"/>
    </xf>
    <xf numFmtId="9" fontId="8" fillId="73" borderId="17" xfId="0" applyNumberFormat="1" applyFont="1" applyFill="1" applyBorder="1" applyAlignment="1">
      <alignment horizontal="center" vertical="center"/>
    </xf>
    <xf numFmtId="0" fontId="8" fillId="21" borderId="13" xfId="0" applyFont="1" applyFill="1" applyBorder="1" applyAlignment="1">
      <alignment horizontal="left"/>
    </xf>
    <xf numFmtId="9" fontId="8" fillId="76" borderId="23" xfId="0" applyNumberFormat="1" applyFont="1" applyFill="1" applyBorder="1" applyAlignment="1">
      <alignment horizontal="center" vertical="center"/>
    </xf>
    <xf numFmtId="9" fontId="8" fillId="21" borderId="13" xfId="5" applyFont="1" applyFill="1" applyBorder="1" applyAlignment="1">
      <alignment horizontal="center" vertical="center"/>
    </xf>
    <xf numFmtId="0" fontId="8" fillId="76" borderId="4" xfId="0" applyFont="1" applyFill="1" applyBorder="1" applyAlignment="1">
      <alignment horizontal="center" vertical="center"/>
    </xf>
    <xf numFmtId="0" fontId="14" fillId="7" borderId="11" xfId="0" applyFont="1" applyFill="1" applyBorder="1" applyAlignment="1">
      <alignment horizontal="justify" vertical="center" wrapText="1"/>
    </xf>
    <xf numFmtId="0" fontId="14" fillId="7" borderId="11"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13" xfId="0" applyFont="1" applyFill="1" applyBorder="1" applyAlignment="1">
      <alignment horizontal="center" vertical="center"/>
    </xf>
    <xf numFmtId="0" fontId="8" fillId="7" borderId="13" xfId="0" applyFont="1" applyFill="1" applyBorder="1" applyAlignment="1">
      <alignment horizontal="left"/>
    </xf>
    <xf numFmtId="0" fontId="8" fillId="78" borderId="47" xfId="0" applyFont="1" applyFill="1" applyBorder="1" applyAlignment="1">
      <alignment horizontal="center" vertical="center"/>
    </xf>
    <xf numFmtId="164" fontId="8" fillId="6" borderId="13" xfId="3" applyNumberFormat="1" applyFont="1" applyFill="1" applyBorder="1" applyAlignment="1">
      <alignment horizontal="center" vertical="center"/>
    </xf>
    <xf numFmtId="164" fontId="8" fillId="7" borderId="13" xfId="3" applyNumberFormat="1" applyFont="1" applyFill="1" applyBorder="1" applyAlignment="1">
      <alignment horizontal="center" vertical="center"/>
    </xf>
    <xf numFmtId="9" fontId="8" fillId="7" borderId="13" xfId="5" applyFont="1" applyFill="1" applyBorder="1" applyAlignment="1">
      <alignment horizontal="center" vertical="center"/>
    </xf>
    <xf numFmtId="164" fontId="8" fillId="6" borderId="13" xfId="0" applyNumberFormat="1" applyFont="1" applyFill="1" applyBorder="1" applyAlignment="1">
      <alignment horizontal="center"/>
    </xf>
    <xf numFmtId="0" fontId="8" fillId="78" borderId="1" xfId="0" applyFont="1" applyFill="1" applyBorder="1" applyAlignment="1">
      <alignment horizontal="center" vertical="center"/>
    </xf>
    <xf numFmtId="41" fontId="14" fillId="7" borderId="11" xfId="2" applyFont="1" applyFill="1" applyBorder="1" applyAlignment="1">
      <alignment vertical="center" wrapText="1"/>
    </xf>
    <xf numFmtId="0" fontId="8" fillId="78" borderId="51" xfId="0" applyFont="1" applyFill="1" applyBorder="1" applyAlignment="1">
      <alignment horizontal="center" vertical="center"/>
    </xf>
    <xf numFmtId="0" fontId="8" fillId="29" borderId="13" xfId="0" applyFont="1" applyFill="1" applyBorder="1" applyAlignment="1">
      <alignment horizontal="left"/>
    </xf>
    <xf numFmtId="9" fontId="8" fillId="80" borderId="47" xfId="0" applyNumberFormat="1" applyFont="1" applyFill="1" applyBorder="1" applyAlignment="1">
      <alignment horizontal="center" vertical="center"/>
    </xf>
    <xf numFmtId="164" fontId="8" fillId="30" borderId="13" xfId="3" applyNumberFormat="1" applyFont="1" applyFill="1" applyBorder="1" applyAlignment="1">
      <alignment horizontal="center" vertical="center"/>
    </xf>
    <xf numFmtId="0" fontId="7" fillId="30" borderId="11" xfId="0" applyFont="1" applyFill="1" applyBorder="1" applyAlignment="1">
      <alignment horizontal="center" vertical="center"/>
    </xf>
    <xf numFmtId="0" fontId="8" fillId="29" borderId="3" xfId="0" applyFont="1" applyFill="1" applyBorder="1" applyAlignment="1">
      <alignment horizontal="left"/>
    </xf>
    <xf numFmtId="9" fontId="8" fillId="80" borderId="1" xfId="0" applyNumberFormat="1" applyFont="1" applyFill="1" applyBorder="1" applyAlignment="1">
      <alignment horizontal="center" vertical="center"/>
    </xf>
    <xf numFmtId="164" fontId="8" fillId="30" borderId="13" xfId="3" applyNumberFormat="1" applyFont="1" applyFill="1" applyBorder="1" applyAlignment="1">
      <alignment horizontal="center"/>
    </xf>
    <xf numFmtId="9" fontId="7" fillId="30" borderId="11" xfId="5" applyFont="1" applyFill="1" applyBorder="1" applyAlignment="1">
      <alignment horizontal="center" vertical="center"/>
    </xf>
    <xf numFmtId="0" fontId="7" fillId="29" borderId="37" xfId="0" applyFont="1" applyFill="1" applyBorder="1" applyAlignment="1">
      <alignment horizontal="center" vertical="center"/>
    </xf>
    <xf numFmtId="0" fontId="7" fillId="29" borderId="11" xfId="0" applyFont="1" applyFill="1" applyBorder="1" applyAlignment="1">
      <alignment horizontal="center" vertical="center"/>
    </xf>
    <xf numFmtId="0" fontId="8" fillId="80" borderId="1" xfId="0" applyFont="1" applyFill="1" applyBorder="1" applyAlignment="1">
      <alignment horizontal="center" vertical="center"/>
    </xf>
    <xf numFmtId="0" fontId="8" fillId="80" borderId="51" xfId="0" applyFont="1" applyFill="1" applyBorder="1" applyAlignment="1">
      <alignment horizontal="center" vertical="center"/>
    </xf>
    <xf numFmtId="0" fontId="8" fillId="59" borderId="13" xfId="0" applyFont="1" applyFill="1" applyBorder="1" applyAlignment="1">
      <alignment horizontal="left"/>
    </xf>
    <xf numFmtId="164" fontId="8" fillId="59" borderId="13" xfId="3" applyNumberFormat="1" applyFont="1" applyFill="1" applyBorder="1" applyAlignment="1">
      <alignment horizontal="center" vertical="center"/>
    </xf>
    <xf numFmtId="9" fontId="8" fillId="59" borderId="13" xfId="5" applyFont="1" applyFill="1" applyBorder="1" applyAlignment="1">
      <alignment horizontal="center" vertical="center"/>
    </xf>
    <xf numFmtId="41" fontId="14" fillId="24" borderId="11" xfId="2" applyFont="1" applyFill="1" applyBorder="1" applyAlignment="1">
      <alignment horizontal="center" vertical="center" wrapText="1"/>
    </xf>
    <xf numFmtId="41" fontId="8" fillId="23" borderId="22" xfId="2" applyFont="1" applyFill="1" applyBorder="1" applyAlignment="1">
      <alignment horizontal="center" vertical="center"/>
    </xf>
    <xf numFmtId="41" fontId="8" fillId="23" borderId="16" xfId="2" applyFont="1" applyFill="1" applyBorder="1" applyAlignment="1">
      <alignment horizontal="center" vertical="center"/>
    </xf>
    <xf numFmtId="0" fontId="8" fillId="24" borderId="13" xfId="0" applyFont="1" applyFill="1" applyBorder="1" applyAlignment="1">
      <alignment horizontal="left"/>
    </xf>
    <xf numFmtId="0" fontId="8" fillId="82" borderId="47" xfId="0" applyFont="1" applyFill="1" applyBorder="1" applyAlignment="1">
      <alignment horizontal="center" vertical="center"/>
    </xf>
    <xf numFmtId="164" fontId="8" fillId="23" borderId="13" xfId="3" applyNumberFormat="1" applyFont="1" applyFill="1" applyBorder="1" applyAlignment="1">
      <alignment horizontal="center" vertical="center"/>
    </xf>
    <xf numFmtId="0" fontId="8" fillId="82" borderId="1" xfId="0" applyFont="1" applyFill="1" applyBorder="1" applyAlignment="1">
      <alignment horizontal="center" vertical="center"/>
    </xf>
    <xf numFmtId="9" fontId="8" fillId="82" borderId="51" xfId="0" applyNumberFormat="1" applyFont="1" applyFill="1" applyBorder="1" applyAlignment="1">
      <alignment horizontal="center" vertical="center"/>
    </xf>
    <xf numFmtId="0" fontId="14" fillId="62" borderId="11" xfId="0" applyFont="1" applyFill="1" applyBorder="1" applyAlignment="1">
      <alignment horizontal="center" vertical="center" wrapText="1"/>
    </xf>
    <xf numFmtId="9" fontId="14" fillId="62" borderId="11" xfId="0" applyNumberFormat="1" applyFont="1" applyFill="1" applyBorder="1" applyAlignment="1">
      <alignment horizontal="center" vertical="center" wrapText="1"/>
    </xf>
    <xf numFmtId="9" fontId="8" fillId="62" borderId="75" xfId="5" applyFont="1" applyFill="1" applyBorder="1" applyAlignment="1">
      <alignment horizontal="center" vertical="center"/>
    </xf>
    <xf numFmtId="9" fontId="8" fillId="62" borderId="62" xfId="5" applyFont="1" applyFill="1" applyBorder="1" applyAlignment="1">
      <alignment horizontal="center" vertical="center"/>
    </xf>
    <xf numFmtId="0" fontId="8" fillId="62" borderId="62" xfId="0" applyFont="1" applyFill="1" applyBorder="1" applyAlignment="1">
      <alignment horizontal="left"/>
    </xf>
    <xf numFmtId="9" fontId="8" fillId="62" borderId="63" xfId="0" applyNumberFormat="1" applyFont="1" applyFill="1" applyBorder="1" applyAlignment="1">
      <alignment horizontal="center" vertical="center"/>
    </xf>
    <xf numFmtId="164" fontId="8" fillId="62" borderId="62" xfId="0" applyNumberFormat="1" applyFont="1" applyFill="1" applyBorder="1" applyAlignment="1">
      <alignment horizontal="center" vertical="center"/>
    </xf>
    <xf numFmtId="164" fontId="8" fillId="62" borderId="62" xfId="4" applyNumberFormat="1" applyFont="1" applyFill="1" applyBorder="1" applyAlignment="1">
      <alignment horizontal="center" vertical="center"/>
    </xf>
    <xf numFmtId="164" fontId="8" fillId="62" borderId="62" xfId="0" applyNumberFormat="1" applyFont="1" applyFill="1" applyBorder="1" applyAlignment="1">
      <alignment horizontal="center"/>
    </xf>
    <xf numFmtId="0" fontId="8" fillId="62" borderId="3" xfId="0" applyFont="1" applyFill="1" applyBorder="1" applyAlignment="1">
      <alignment horizontal="center" vertical="center"/>
    </xf>
    <xf numFmtId="0" fontId="8" fillId="62" borderId="13" xfId="0" applyFont="1" applyFill="1" applyBorder="1" applyAlignment="1">
      <alignment horizontal="center" vertical="center"/>
    </xf>
    <xf numFmtId="0" fontId="8" fillId="62" borderId="13" xfId="0" applyFont="1" applyFill="1" applyBorder="1" applyAlignment="1">
      <alignment horizontal="left"/>
    </xf>
    <xf numFmtId="0" fontId="8" fillId="62" borderId="1" xfId="0" applyFont="1" applyFill="1" applyBorder="1" applyAlignment="1">
      <alignment horizontal="center" vertical="center"/>
    </xf>
    <xf numFmtId="164" fontId="8" fillId="62" borderId="13" xfId="0" applyNumberFormat="1" applyFont="1" applyFill="1" applyBorder="1" applyAlignment="1">
      <alignment horizontal="center" vertical="center"/>
    </xf>
    <xf numFmtId="9" fontId="8" fillId="62" borderId="13" xfId="5" applyFont="1" applyFill="1" applyBorder="1" applyAlignment="1">
      <alignment horizontal="center" vertical="center"/>
    </xf>
    <xf numFmtId="164" fontId="8" fillId="62" borderId="13" xfId="0" applyNumberFormat="1" applyFont="1" applyFill="1" applyBorder="1" applyAlignment="1">
      <alignment horizontal="center"/>
    </xf>
    <xf numFmtId="41" fontId="8" fillId="62" borderId="11" xfId="2" applyFont="1" applyFill="1" applyBorder="1" applyAlignment="1">
      <alignment horizontal="center" vertical="center" wrapText="1"/>
    </xf>
    <xf numFmtId="9" fontId="8" fillId="62" borderId="3" xfId="5" applyFont="1" applyFill="1" applyBorder="1" applyAlignment="1">
      <alignment horizontal="center" vertical="center"/>
    </xf>
    <xf numFmtId="9" fontId="8" fillId="62" borderId="1" xfId="0" applyNumberFormat="1" applyFont="1" applyFill="1" applyBorder="1" applyAlignment="1">
      <alignment horizontal="center" vertical="center"/>
    </xf>
    <xf numFmtId="1" fontId="8" fillId="62" borderId="1" xfId="0" applyNumberFormat="1" applyFont="1" applyFill="1" applyBorder="1" applyAlignment="1">
      <alignment horizontal="center" vertical="center"/>
    </xf>
    <xf numFmtId="9" fontId="8" fillId="62" borderId="11" xfId="0" applyNumberFormat="1" applyFont="1" applyFill="1" applyBorder="1" applyAlignment="1">
      <alignment horizontal="center" vertical="center"/>
    </xf>
    <xf numFmtId="9" fontId="8" fillId="62" borderId="76" xfId="5" applyFont="1" applyFill="1" applyBorder="1" applyAlignment="1">
      <alignment horizontal="center" vertical="center"/>
    </xf>
    <xf numFmtId="9" fontId="8" fillId="62" borderId="70" xfId="5" applyFont="1" applyFill="1" applyBorder="1" applyAlignment="1">
      <alignment horizontal="center" vertical="center"/>
    </xf>
    <xf numFmtId="0" fontId="8" fillId="62" borderId="70" xfId="0" applyFont="1" applyFill="1" applyBorder="1" applyAlignment="1">
      <alignment horizontal="left"/>
    </xf>
    <xf numFmtId="9" fontId="8" fillId="62" borderId="69" xfId="0" applyNumberFormat="1" applyFont="1" applyFill="1" applyBorder="1" applyAlignment="1">
      <alignment horizontal="center" vertical="center"/>
    </xf>
    <xf numFmtId="164" fontId="8" fillId="62" borderId="70" xfId="0" applyNumberFormat="1" applyFont="1" applyFill="1" applyBorder="1" applyAlignment="1">
      <alignment horizontal="center" vertical="center"/>
    </xf>
    <xf numFmtId="164" fontId="8" fillId="62" borderId="70" xfId="4" applyNumberFormat="1" applyFont="1" applyFill="1" applyBorder="1" applyAlignment="1">
      <alignment horizontal="center" vertical="center"/>
    </xf>
    <xf numFmtId="164" fontId="8" fillId="62" borderId="70" xfId="0" applyNumberFormat="1" applyFont="1" applyFill="1" applyBorder="1" applyAlignment="1">
      <alignment horizontal="center"/>
    </xf>
    <xf numFmtId="0" fontId="16" fillId="87" borderId="13" xfId="0" applyFont="1" applyFill="1" applyBorder="1" applyAlignment="1">
      <alignment horizontal="left" vertical="center" wrapText="1"/>
    </xf>
    <xf numFmtId="0" fontId="16" fillId="87" borderId="13" xfId="0" applyFont="1" applyFill="1" applyBorder="1" applyAlignment="1">
      <alignment horizontal="center" vertical="center" wrapText="1"/>
    </xf>
    <xf numFmtId="3" fontId="16" fillId="87" borderId="13" xfId="0" applyNumberFormat="1" applyFont="1" applyFill="1" applyBorder="1" applyAlignment="1">
      <alignment horizontal="center" vertical="center" wrapText="1"/>
    </xf>
    <xf numFmtId="9" fontId="16" fillId="87" borderId="13" xfId="0" applyNumberFormat="1" applyFont="1" applyFill="1" applyBorder="1" applyAlignment="1">
      <alignment horizontal="center" vertical="center" wrapText="1"/>
    </xf>
    <xf numFmtId="9" fontId="16" fillId="87" borderId="3" xfId="0" applyNumberFormat="1" applyFont="1" applyFill="1" applyBorder="1" applyAlignment="1">
      <alignment horizontal="center" vertical="center"/>
    </xf>
    <xf numFmtId="170" fontId="17" fillId="87" borderId="13" xfId="0" applyNumberFormat="1" applyFont="1" applyFill="1" applyBorder="1" applyAlignment="1">
      <alignment vertical="center"/>
    </xf>
    <xf numFmtId="0" fontId="16" fillId="87" borderId="51" xfId="0" applyFont="1" applyFill="1" applyBorder="1" applyAlignment="1">
      <alignment horizontal="center" vertical="center"/>
    </xf>
    <xf numFmtId="172" fontId="17" fillId="87" borderId="13" xfId="0" applyNumberFormat="1" applyFont="1" applyFill="1" applyBorder="1" applyAlignment="1">
      <alignment horizontal="center" vertical="center"/>
    </xf>
    <xf numFmtId="172" fontId="16" fillId="87" borderId="13" xfId="0" applyNumberFormat="1" applyFont="1" applyFill="1" applyBorder="1" applyAlignment="1">
      <alignment horizontal="center" vertical="center"/>
    </xf>
    <xf numFmtId="9" fontId="16" fillId="87" borderId="13" xfId="0" applyNumberFormat="1" applyFont="1" applyFill="1" applyBorder="1" applyAlignment="1">
      <alignment horizontal="left" vertical="center"/>
    </xf>
    <xf numFmtId="172" fontId="16" fillId="87" borderId="13" xfId="0" applyNumberFormat="1" applyFont="1" applyFill="1" applyBorder="1" applyAlignment="1">
      <alignment horizontal="center"/>
    </xf>
    <xf numFmtId="9" fontId="16" fillId="87" borderId="13" xfId="0" applyNumberFormat="1" applyFont="1" applyFill="1" applyBorder="1" applyAlignment="1">
      <alignment horizontal="center" vertical="center"/>
    </xf>
    <xf numFmtId="172" fontId="17" fillId="87" borderId="13" xfId="0" applyNumberFormat="1" applyFont="1" applyFill="1" applyBorder="1" applyAlignment="1">
      <alignment horizontal="center"/>
    </xf>
    <xf numFmtId="0" fontId="8" fillId="87" borderId="13" xfId="0" applyFont="1" applyFill="1" applyBorder="1" applyAlignment="1">
      <alignment horizontal="center" vertical="center" wrapText="1"/>
    </xf>
    <xf numFmtId="0" fontId="16" fillId="87" borderId="3" xfId="0" applyFont="1" applyFill="1" applyBorder="1" applyAlignment="1">
      <alignment horizontal="center" vertical="center"/>
    </xf>
    <xf numFmtId="0" fontId="16" fillId="87" borderId="13" xfId="0" applyFont="1" applyFill="1" applyBorder="1" applyAlignment="1">
      <alignment horizontal="center" vertical="center"/>
    </xf>
    <xf numFmtId="0" fontId="19" fillId="87" borderId="13" xfId="0" applyFont="1" applyFill="1" applyBorder="1" applyAlignment="1">
      <alignment horizontal="center" vertical="center"/>
    </xf>
    <xf numFmtId="0" fontId="16" fillId="87" borderId="13" xfId="0" applyFont="1" applyFill="1" applyBorder="1" applyAlignment="1">
      <alignment vertical="center" wrapText="1"/>
    </xf>
    <xf numFmtId="2" fontId="16" fillId="87" borderId="3" xfId="0" applyNumberFormat="1" applyFont="1" applyFill="1" applyBorder="1" applyAlignment="1">
      <alignment horizontal="center" vertical="center"/>
    </xf>
    <xf numFmtId="0" fontId="16" fillId="87" borderId="1" xfId="0" applyFont="1" applyFill="1" applyBorder="1" applyAlignment="1">
      <alignment vertical="center" wrapText="1"/>
    </xf>
    <xf numFmtId="165" fontId="16" fillId="87" borderId="13" xfId="0" applyNumberFormat="1" applyFont="1" applyFill="1" applyBorder="1" applyAlignment="1">
      <alignment horizontal="center" vertical="center"/>
    </xf>
    <xf numFmtId="9" fontId="16" fillId="87" borderId="51" xfId="0" applyNumberFormat="1" applyFont="1" applyFill="1" applyBorder="1" applyAlignment="1">
      <alignment horizontal="center" vertical="center"/>
    </xf>
    <xf numFmtId="0" fontId="16" fillId="87" borderId="23" xfId="0" applyFont="1" applyFill="1" applyBorder="1" applyAlignment="1">
      <alignment vertical="center" wrapText="1"/>
    </xf>
    <xf numFmtId="170" fontId="17" fillId="87" borderId="13" xfId="0" applyNumberFormat="1" applyFont="1" applyFill="1" applyBorder="1" applyAlignment="1">
      <alignment horizontal="center" vertical="center"/>
    </xf>
    <xf numFmtId="0" fontId="16" fillId="87" borderId="13" xfId="0" applyFont="1" applyFill="1" applyBorder="1" applyAlignment="1">
      <alignment horizontal="center"/>
    </xf>
    <xf numFmtId="0" fontId="16" fillId="87" borderId="12" xfId="0" applyFont="1" applyFill="1" applyBorder="1" applyAlignment="1">
      <alignment horizontal="center" vertical="center"/>
    </xf>
    <xf numFmtId="0" fontId="16" fillId="87" borderId="6" xfId="0" applyFont="1" applyFill="1" applyBorder="1" applyAlignment="1">
      <alignment horizontal="center" vertical="center"/>
    </xf>
    <xf numFmtId="170" fontId="17" fillId="87" borderId="6" xfId="0" applyNumberFormat="1" applyFont="1" applyFill="1" applyBorder="1" applyAlignment="1">
      <alignment horizontal="center" vertical="center"/>
    </xf>
    <xf numFmtId="0" fontId="16" fillId="87" borderId="6" xfId="0" applyFont="1" applyFill="1" applyBorder="1" applyAlignment="1">
      <alignment horizontal="center"/>
    </xf>
    <xf numFmtId="172" fontId="17" fillId="87" borderId="6" xfId="0" applyNumberFormat="1" applyFont="1" applyFill="1" applyBorder="1" applyAlignment="1">
      <alignment horizontal="center" vertical="center"/>
    </xf>
    <xf numFmtId="172" fontId="16" fillId="87" borderId="6" xfId="0" applyNumberFormat="1" applyFont="1" applyFill="1" applyBorder="1" applyAlignment="1">
      <alignment horizontal="center" vertical="center"/>
    </xf>
    <xf numFmtId="9" fontId="16" fillId="87" borderId="6" xfId="0" applyNumberFormat="1" applyFont="1" applyFill="1" applyBorder="1" applyAlignment="1">
      <alignment horizontal="left" vertical="center"/>
    </xf>
    <xf numFmtId="172" fontId="16" fillId="87" borderId="6" xfId="0" applyNumberFormat="1" applyFont="1" applyFill="1" applyBorder="1" applyAlignment="1">
      <alignment horizontal="center"/>
    </xf>
    <xf numFmtId="0" fontId="6" fillId="59" borderId="11" xfId="0" applyFont="1" applyFill="1" applyBorder="1" applyAlignment="1">
      <alignment horizontal="center" vertical="center"/>
    </xf>
    <xf numFmtId="0" fontId="7" fillId="90" borderId="11" xfId="0" applyFont="1" applyFill="1" applyBorder="1" applyAlignment="1">
      <alignment vertical="center" wrapText="1"/>
    </xf>
    <xf numFmtId="0" fontId="7" fillId="90" borderId="11" xfId="0" applyFont="1" applyFill="1" applyBorder="1" applyAlignment="1">
      <alignment horizontal="left" vertical="center" wrapText="1"/>
    </xf>
    <xf numFmtId="0" fontId="7" fillId="90" borderId="11" xfId="0" applyFont="1" applyFill="1" applyBorder="1" applyAlignment="1">
      <alignment horizontal="center" vertical="center" wrapText="1"/>
    </xf>
    <xf numFmtId="9" fontId="8" fillId="90" borderId="11" xfId="0" applyNumberFormat="1" applyFont="1" applyFill="1" applyBorder="1" applyAlignment="1">
      <alignment horizontal="center" vertical="center"/>
    </xf>
    <xf numFmtId="167" fontId="8" fillId="60" borderId="22" xfId="0" applyNumberFormat="1" applyFont="1" applyFill="1" applyBorder="1" applyAlignment="1">
      <alignment horizontal="center" vertical="center"/>
    </xf>
    <xf numFmtId="167" fontId="8" fillId="60" borderId="16" xfId="0" applyNumberFormat="1" applyFont="1" applyFill="1" applyBorder="1" applyAlignment="1">
      <alignment horizontal="center" vertical="center"/>
    </xf>
    <xf numFmtId="167" fontId="8" fillId="60" borderId="13" xfId="0" applyNumberFormat="1" applyFont="1" applyFill="1" applyBorder="1" applyAlignment="1">
      <alignment horizontal="center" vertical="center"/>
    </xf>
    <xf numFmtId="9" fontId="8" fillId="90" borderId="47" xfId="0" applyNumberFormat="1" applyFont="1" applyFill="1" applyBorder="1" applyAlignment="1">
      <alignment horizontal="center" vertical="center"/>
    </xf>
    <xf numFmtId="9" fontId="8" fillId="60" borderId="3" xfId="0" applyNumberFormat="1" applyFont="1" applyFill="1" applyBorder="1" applyAlignment="1">
      <alignment horizontal="center" vertical="center"/>
    </xf>
    <xf numFmtId="9" fontId="8" fillId="60" borderId="13" xfId="0" applyNumberFormat="1" applyFont="1" applyFill="1" applyBorder="1" applyAlignment="1">
      <alignment horizontal="center" vertical="center"/>
    </xf>
    <xf numFmtId="9" fontId="8" fillId="90" borderId="1" xfId="0" applyNumberFormat="1" applyFont="1" applyFill="1" applyBorder="1" applyAlignment="1">
      <alignment horizontal="center" vertical="center"/>
    </xf>
    <xf numFmtId="9" fontId="8" fillId="90" borderId="51" xfId="0" applyNumberFormat="1" applyFont="1" applyFill="1" applyBorder="1" applyAlignment="1">
      <alignment horizontal="center" vertical="center"/>
    </xf>
    <xf numFmtId="1" fontId="8" fillId="14" borderId="11" xfId="0" applyNumberFormat="1" applyFont="1" applyFill="1" applyBorder="1" applyAlignment="1">
      <alignment horizontal="center" vertical="center" wrapText="1"/>
    </xf>
    <xf numFmtId="0" fontId="11" fillId="14" borderId="11" xfId="0" applyFont="1" applyFill="1" applyBorder="1" applyAlignment="1">
      <alignment horizontal="left"/>
    </xf>
    <xf numFmtId="9" fontId="11" fillId="91" borderId="11" xfId="0" applyNumberFormat="1" applyFont="1" applyFill="1" applyBorder="1" applyAlignment="1">
      <alignment horizontal="center" vertical="center"/>
    </xf>
    <xf numFmtId="164" fontId="8" fillId="14" borderId="11" xfId="0" applyNumberFormat="1" applyFont="1" applyFill="1" applyBorder="1" applyAlignment="1">
      <alignment horizontal="center"/>
    </xf>
    <xf numFmtId="0" fontId="7" fillId="93" borderId="48" xfId="0" applyFont="1" applyFill="1" applyBorder="1" applyAlignment="1">
      <alignment vertical="center" wrapText="1"/>
    </xf>
    <xf numFmtId="0" fontId="8" fillId="13" borderId="48" xfId="0" applyFont="1" applyFill="1" applyBorder="1" applyAlignment="1">
      <alignment horizontal="center" vertical="center" wrapText="1"/>
    </xf>
    <xf numFmtId="9" fontId="8" fillId="13" borderId="47" xfId="0" applyNumberFormat="1" applyFont="1" applyFill="1" applyBorder="1" applyAlignment="1">
      <alignment horizontal="center" vertical="center"/>
    </xf>
    <xf numFmtId="0" fontId="8" fillId="13" borderId="11" xfId="0" applyFont="1" applyFill="1" applyBorder="1" applyAlignment="1">
      <alignment horizontal="justify" vertical="center" wrapText="1"/>
    </xf>
    <xf numFmtId="0" fontId="14" fillId="13" borderId="11" xfId="0" applyFont="1" applyFill="1" applyBorder="1" applyAlignment="1">
      <alignment horizontal="center" vertical="center" wrapText="1"/>
    </xf>
    <xf numFmtId="0" fontId="8" fillId="94" borderId="11" xfId="0" applyFont="1" applyFill="1" applyBorder="1" applyAlignment="1">
      <alignment horizontal="center" vertical="center"/>
    </xf>
    <xf numFmtId="0" fontId="8" fillId="94" borderId="3" xfId="0" applyFont="1" applyFill="1" applyBorder="1" applyAlignment="1">
      <alignment horizontal="center" vertical="center"/>
    </xf>
    <xf numFmtId="0" fontId="8" fillId="94" borderId="13" xfId="0" applyFont="1" applyFill="1" applyBorder="1" applyAlignment="1">
      <alignment horizontal="center" vertical="center"/>
    </xf>
    <xf numFmtId="0" fontId="8" fillId="13" borderId="13" xfId="0" applyFont="1" applyFill="1" applyBorder="1" applyAlignment="1">
      <alignment horizontal="left" vertical="center"/>
    </xf>
    <xf numFmtId="0" fontId="8" fillId="93" borderId="47" xfId="0" applyFont="1" applyFill="1" applyBorder="1" applyAlignment="1">
      <alignment horizontal="center" vertical="center"/>
    </xf>
    <xf numFmtId="164" fontId="8" fillId="94" borderId="13" xfId="0" applyNumberFormat="1" applyFont="1" applyFill="1" applyBorder="1" applyAlignment="1">
      <alignment horizontal="center" vertical="center"/>
    </xf>
    <xf numFmtId="164" fontId="8" fillId="13" borderId="13" xfId="3" applyNumberFormat="1" applyFont="1" applyFill="1" applyBorder="1" applyAlignment="1">
      <alignment horizontal="center" vertical="center"/>
    </xf>
    <xf numFmtId="164" fontId="8" fillId="13" borderId="13" xfId="0" applyNumberFormat="1" applyFont="1" applyFill="1" applyBorder="1" applyAlignment="1">
      <alignment horizontal="center" vertical="center"/>
    </xf>
    <xf numFmtId="9" fontId="8" fillId="13" borderId="13" xfId="5" applyFont="1" applyFill="1" applyBorder="1" applyAlignment="1">
      <alignment horizontal="center" vertical="center"/>
    </xf>
    <xf numFmtId="164" fontId="8" fillId="94" borderId="13" xfId="0" applyNumberFormat="1" applyFont="1" applyFill="1" applyBorder="1" applyAlignment="1">
      <alignment horizontal="center"/>
    </xf>
    <xf numFmtId="0" fontId="8" fillId="13" borderId="11" xfId="0" applyFont="1" applyFill="1" applyBorder="1" applyAlignment="1">
      <alignment horizontal="center" vertical="center" wrapText="1"/>
    </xf>
    <xf numFmtId="9" fontId="8" fillId="13" borderId="11" xfId="0" applyNumberFormat="1" applyFont="1" applyFill="1" applyBorder="1" applyAlignment="1">
      <alignment horizontal="center" vertical="center" wrapText="1"/>
    </xf>
    <xf numFmtId="10" fontId="8" fillId="94" borderId="11" xfId="0" applyNumberFormat="1" applyFont="1" applyFill="1" applyBorder="1" applyAlignment="1">
      <alignment horizontal="center" vertical="center"/>
    </xf>
    <xf numFmtId="10" fontId="8" fillId="94" borderId="3" xfId="0" applyNumberFormat="1" applyFont="1" applyFill="1" applyBorder="1" applyAlignment="1">
      <alignment horizontal="center" vertical="center"/>
    </xf>
    <xf numFmtId="10" fontId="8" fillId="94" borderId="13" xfId="0" applyNumberFormat="1" applyFont="1" applyFill="1" applyBorder="1" applyAlignment="1">
      <alignment horizontal="center" vertical="center"/>
    </xf>
    <xf numFmtId="9" fontId="8" fillId="93" borderId="1" xfId="0" applyNumberFormat="1" applyFont="1" applyFill="1" applyBorder="1" applyAlignment="1">
      <alignment horizontal="center" vertical="center"/>
    </xf>
    <xf numFmtId="0" fontId="8" fillId="93" borderId="1" xfId="0" applyFont="1" applyFill="1" applyBorder="1" applyAlignment="1">
      <alignment horizontal="center" vertical="center"/>
    </xf>
    <xf numFmtId="0" fontId="8" fillId="93" borderId="13" xfId="0" applyFont="1" applyFill="1" applyBorder="1" applyAlignment="1">
      <alignment horizontal="left" vertical="center" wrapText="1"/>
    </xf>
    <xf numFmtId="9" fontId="8" fillId="93" borderId="13" xfId="0" applyNumberFormat="1" applyFont="1" applyFill="1" applyBorder="1" applyAlignment="1">
      <alignment horizontal="center" vertical="center" wrapText="1"/>
    </xf>
    <xf numFmtId="9" fontId="8" fillId="13" borderId="1" xfId="0" applyNumberFormat="1" applyFont="1" applyFill="1" applyBorder="1" applyAlignment="1">
      <alignment horizontal="center" vertical="center"/>
    </xf>
    <xf numFmtId="0" fontId="8" fillId="93" borderId="11" xfId="0" applyFont="1" applyFill="1" applyBorder="1" applyAlignment="1">
      <alignment horizontal="center" vertical="center" wrapText="1"/>
    </xf>
    <xf numFmtId="164" fontId="7" fillId="94" borderId="13" xfId="0" applyNumberFormat="1" applyFont="1" applyFill="1" applyBorder="1" applyAlignment="1">
      <alignment horizontal="center" vertical="center"/>
    </xf>
    <xf numFmtId="9" fontId="14" fillId="13" borderId="11" xfId="5" applyFont="1" applyFill="1" applyBorder="1" applyAlignment="1">
      <alignment horizontal="center" vertical="center" wrapText="1"/>
    </xf>
    <xf numFmtId="9" fontId="14" fillId="13" borderId="11" xfId="0" applyNumberFormat="1" applyFont="1" applyFill="1" applyBorder="1" applyAlignment="1">
      <alignment horizontal="center" vertical="center" wrapText="1"/>
    </xf>
    <xf numFmtId="0" fontId="8" fillId="93" borderId="50" xfId="0" applyFont="1" applyFill="1" applyBorder="1" applyAlignment="1">
      <alignment horizontal="left" vertical="center" wrapText="1"/>
    </xf>
    <xf numFmtId="0" fontId="8" fillId="93" borderId="50" xfId="0" applyFont="1" applyFill="1" applyBorder="1" applyAlignment="1">
      <alignment horizontal="center" vertical="center" wrapText="1"/>
    </xf>
    <xf numFmtId="0" fontId="8" fillId="93" borderId="51" xfId="0" applyFont="1" applyFill="1" applyBorder="1" applyAlignment="1">
      <alignment horizontal="center" vertical="center"/>
    </xf>
    <xf numFmtId="0" fontId="8" fillId="93" borderId="11" xfId="0" applyFont="1" applyFill="1" applyBorder="1" applyAlignment="1">
      <alignment horizontal="left" vertical="center" wrapText="1"/>
    </xf>
    <xf numFmtId="0" fontId="8" fillId="93" borderId="11" xfId="0" applyFont="1" applyFill="1" applyBorder="1" applyAlignment="1">
      <alignment horizontal="center" vertical="center"/>
    </xf>
    <xf numFmtId="0" fontId="7" fillId="95" borderId="13" xfId="0" applyFont="1" applyFill="1" applyBorder="1" applyAlignment="1">
      <alignment horizontal="left" vertical="center" wrapText="1"/>
    </xf>
    <xf numFmtId="0" fontId="7" fillId="95" borderId="13" xfId="0" applyFont="1" applyFill="1" applyBorder="1" applyAlignment="1">
      <alignment horizontal="center" vertical="center" wrapText="1"/>
    </xf>
    <xf numFmtId="0" fontId="7" fillId="95" borderId="13" xfId="0" applyFont="1" applyFill="1" applyBorder="1" applyAlignment="1">
      <alignment horizontal="center" vertical="center"/>
    </xf>
    <xf numFmtId="0" fontId="17" fillId="95" borderId="22" xfId="0" applyFont="1" applyFill="1" applyBorder="1" applyAlignment="1">
      <alignment horizontal="center" vertical="center"/>
    </xf>
    <xf numFmtId="0" fontId="17" fillId="95" borderId="13" xfId="0" applyFont="1" applyFill="1" applyBorder="1" applyAlignment="1">
      <alignment horizontal="center" vertical="center"/>
    </xf>
    <xf numFmtId="0" fontId="17" fillId="95" borderId="13" xfId="0" applyFont="1" applyFill="1" applyBorder="1" applyAlignment="1">
      <alignment horizontal="left" vertical="center"/>
    </xf>
    <xf numFmtId="0" fontId="17" fillId="95" borderId="47" xfId="0" applyFont="1" applyFill="1" applyBorder="1" applyAlignment="1">
      <alignment horizontal="center" vertical="center"/>
    </xf>
    <xf numFmtId="172" fontId="16" fillId="95" borderId="13" xfId="0" applyNumberFormat="1" applyFont="1" applyFill="1" applyBorder="1" applyAlignment="1">
      <alignment horizontal="center" vertical="center"/>
    </xf>
    <xf numFmtId="9" fontId="16" fillId="95" borderId="13" xfId="0" applyNumberFormat="1" applyFont="1" applyFill="1" applyBorder="1" applyAlignment="1">
      <alignment horizontal="center" vertical="center"/>
    </xf>
    <xf numFmtId="172" fontId="16" fillId="95" borderId="13" xfId="0" applyNumberFormat="1" applyFont="1" applyFill="1" applyBorder="1" applyAlignment="1">
      <alignment horizontal="center"/>
    </xf>
    <xf numFmtId="0" fontId="16" fillId="95" borderId="13" xfId="0" applyFont="1" applyFill="1" applyBorder="1" applyAlignment="1">
      <alignment horizontal="center" vertical="center" wrapText="1"/>
    </xf>
    <xf numFmtId="0" fontId="16" fillId="95" borderId="13" xfId="0" applyFont="1" applyFill="1" applyBorder="1" applyAlignment="1">
      <alignment horizontal="center" vertical="center"/>
    </xf>
    <xf numFmtId="0" fontId="17" fillId="95" borderId="3" xfId="0" applyFont="1" applyFill="1" applyBorder="1" applyAlignment="1">
      <alignment horizontal="center" vertical="center"/>
    </xf>
    <xf numFmtId="0" fontId="17" fillId="95" borderId="1" xfId="0" applyFont="1" applyFill="1" applyBorder="1" applyAlignment="1">
      <alignment horizontal="center" vertical="center"/>
    </xf>
    <xf numFmtId="9" fontId="16" fillId="95" borderId="13" xfId="0" applyNumberFormat="1" applyFont="1" applyFill="1" applyBorder="1" applyAlignment="1">
      <alignment horizontal="center" vertical="center" wrapText="1"/>
    </xf>
    <xf numFmtId="9" fontId="8" fillId="95" borderId="3" xfId="5" applyFont="1" applyFill="1" applyBorder="1" applyAlignment="1">
      <alignment horizontal="center" vertical="center"/>
    </xf>
    <xf numFmtId="9" fontId="17" fillId="95" borderId="13" xfId="0" applyNumberFormat="1" applyFont="1" applyFill="1" applyBorder="1" applyAlignment="1">
      <alignment horizontal="center" vertical="center"/>
    </xf>
    <xf numFmtId="9" fontId="17" fillId="95" borderId="3" xfId="0" applyNumberFormat="1" applyFont="1" applyFill="1" applyBorder="1" applyAlignment="1">
      <alignment horizontal="center" vertical="center"/>
    </xf>
    <xf numFmtId="9" fontId="17" fillId="95" borderId="1" xfId="0" applyNumberFormat="1" applyFont="1" applyFill="1" applyBorder="1" applyAlignment="1">
      <alignment horizontal="center" vertical="center"/>
    </xf>
    <xf numFmtId="0" fontId="7" fillId="95" borderId="6" xfId="0" applyFont="1" applyFill="1" applyBorder="1" applyAlignment="1">
      <alignment horizontal="left" vertical="center" wrapText="1"/>
    </xf>
    <xf numFmtId="172" fontId="16" fillId="95" borderId="6" xfId="0" applyNumberFormat="1" applyFont="1" applyFill="1" applyBorder="1" applyAlignment="1">
      <alignment horizontal="center" vertical="center"/>
    </xf>
    <xf numFmtId="9" fontId="16" fillId="95" borderId="6" xfId="0" applyNumberFormat="1" applyFont="1" applyFill="1" applyBorder="1" applyAlignment="1">
      <alignment horizontal="center" vertical="center"/>
    </xf>
    <xf numFmtId="172" fontId="16" fillId="95" borderId="6" xfId="0" applyNumberFormat="1" applyFont="1" applyFill="1" applyBorder="1" applyAlignment="1">
      <alignment horizontal="center"/>
    </xf>
    <xf numFmtId="49" fontId="17" fillId="95" borderId="1" xfId="0" applyNumberFormat="1" applyFont="1" applyFill="1" applyBorder="1" applyAlignment="1">
      <alignment horizontal="center" vertical="center"/>
    </xf>
    <xf numFmtId="9" fontId="7" fillId="95" borderId="13" xfId="0" applyNumberFormat="1" applyFont="1" applyFill="1" applyBorder="1" applyAlignment="1">
      <alignment horizontal="center" vertical="center" wrapText="1"/>
    </xf>
    <xf numFmtId="9" fontId="7" fillId="95" borderId="13" xfId="0" applyNumberFormat="1" applyFont="1" applyFill="1" applyBorder="1" applyAlignment="1">
      <alignment horizontal="center" vertical="center"/>
    </xf>
    <xf numFmtId="0" fontId="16" fillId="95" borderId="13" xfId="0" applyFont="1" applyFill="1" applyBorder="1" applyAlignment="1">
      <alignment horizontal="left" vertical="center" wrapText="1"/>
    </xf>
    <xf numFmtId="9" fontId="17" fillId="95" borderId="51" xfId="0" applyNumberFormat="1" applyFont="1" applyFill="1" applyBorder="1" applyAlignment="1">
      <alignment horizontal="center" vertical="center"/>
    </xf>
    <xf numFmtId="0" fontId="7" fillId="96" borderId="13" xfId="0" applyFont="1" applyFill="1" applyBorder="1" applyAlignment="1">
      <alignment horizontal="left" vertical="center" wrapText="1"/>
    </xf>
    <xf numFmtId="0" fontId="7" fillId="96" borderId="13" xfId="0" applyFont="1" applyFill="1" applyBorder="1" applyAlignment="1">
      <alignment horizontal="center" vertical="center" wrapText="1"/>
    </xf>
    <xf numFmtId="9" fontId="7" fillId="96" borderId="13" xfId="0" applyNumberFormat="1" applyFont="1" applyFill="1" applyBorder="1" applyAlignment="1">
      <alignment horizontal="center" vertical="center"/>
    </xf>
    <xf numFmtId="9" fontId="17" fillId="96" borderId="3" xfId="0" applyNumberFormat="1" applyFont="1" applyFill="1" applyBorder="1" applyAlignment="1">
      <alignment horizontal="center" vertical="center"/>
    </xf>
    <xf numFmtId="9" fontId="17" fillId="96" borderId="13" xfId="0" applyNumberFormat="1" applyFont="1" applyFill="1" applyBorder="1" applyAlignment="1">
      <alignment horizontal="center" vertical="center"/>
    </xf>
    <xf numFmtId="0" fontId="17" fillId="96" borderId="13" xfId="0" applyFont="1" applyFill="1" applyBorder="1" applyAlignment="1">
      <alignment horizontal="left" vertical="center"/>
    </xf>
    <xf numFmtId="9" fontId="17" fillId="96" borderId="23" xfId="0" applyNumberFormat="1" applyFont="1" applyFill="1" applyBorder="1" applyAlignment="1">
      <alignment horizontal="center" vertical="center"/>
    </xf>
    <xf numFmtId="172" fontId="8" fillId="96" borderId="13" xfId="0" applyNumberFormat="1" applyFont="1" applyFill="1" applyBorder="1" applyAlignment="1">
      <alignment horizontal="center" vertical="center"/>
    </xf>
    <xf numFmtId="172" fontId="16" fillId="96" borderId="13" xfId="0" applyNumberFormat="1" applyFont="1" applyFill="1" applyBorder="1" applyAlignment="1">
      <alignment horizontal="center" vertical="center"/>
    </xf>
    <xf numFmtId="9" fontId="16" fillId="96" borderId="13" xfId="0" applyNumberFormat="1" applyFont="1" applyFill="1" applyBorder="1" applyAlignment="1">
      <alignment horizontal="center" vertical="center"/>
    </xf>
    <xf numFmtId="172" fontId="16" fillId="96" borderId="13" xfId="0" applyNumberFormat="1" applyFont="1" applyFill="1" applyBorder="1" applyAlignment="1">
      <alignment horizontal="center"/>
    </xf>
    <xf numFmtId="0" fontId="16" fillId="96" borderId="13" xfId="0" applyFont="1" applyFill="1" applyBorder="1" applyAlignment="1">
      <alignment horizontal="center" vertical="center" wrapText="1"/>
    </xf>
    <xf numFmtId="9" fontId="17" fillId="96" borderId="3" xfId="5" applyFont="1" applyFill="1" applyBorder="1" applyAlignment="1">
      <alignment horizontal="center" vertical="center"/>
    </xf>
    <xf numFmtId="9" fontId="17" fillId="96" borderId="13" xfId="5" applyFont="1" applyFill="1" applyBorder="1" applyAlignment="1">
      <alignment horizontal="center" vertical="center"/>
    </xf>
    <xf numFmtId="1" fontId="17" fillId="96" borderId="13" xfId="0" applyNumberFormat="1" applyFont="1" applyFill="1" applyBorder="1" applyAlignment="1">
      <alignment horizontal="center" vertical="center"/>
    </xf>
    <xf numFmtId="1" fontId="17" fillId="96" borderId="1" xfId="0" applyNumberFormat="1" applyFont="1" applyFill="1" applyBorder="1" applyAlignment="1">
      <alignment horizontal="center" vertical="center"/>
    </xf>
    <xf numFmtId="0" fontId="17" fillId="96" borderId="3" xfId="0" applyFont="1" applyFill="1" applyBorder="1" applyAlignment="1">
      <alignment horizontal="center" vertical="center"/>
    </xf>
    <xf numFmtId="9" fontId="17" fillId="96" borderId="1" xfId="0" applyNumberFormat="1" applyFont="1" applyFill="1" applyBorder="1" applyAlignment="1">
      <alignment horizontal="center" vertical="center"/>
    </xf>
    <xf numFmtId="0" fontId="7" fillId="96" borderId="6" xfId="0" applyFont="1" applyFill="1" applyBorder="1" applyAlignment="1">
      <alignment horizontal="left" vertical="center" wrapText="1"/>
    </xf>
    <xf numFmtId="0" fontId="16" fillId="96" borderId="6" xfId="0" applyFont="1" applyFill="1" applyBorder="1" applyAlignment="1">
      <alignment horizontal="center" vertical="center" wrapText="1"/>
    </xf>
    <xf numFmtId="9" fontId="16" fillId="96" borderId="6" xfId="0" applyNumberFormat="1" applyFont="1" applyFill="1" applyBorder="1" applyAlignment="1">
      <alignment horizontal="center" vertical="center"/>
    </xf>
    <xf numFmtId="9" fontId="17" fillId="96" borderId="12" xfId="5" applyFont="1" applyFill="1" applyBorder="1" applyAlignment="1">
      <alignment horizontal="center" vertical="center"/>
    </xf>
    <xf numFmtId="9" fontId="17" fillId="96" borderId="6" xfId="5" applyFont="1" applyFill="1" applyBorder="1" applyAlignment="1">
      <alignment horizontal="center" vertical="center"/>
    </xf>
    <xf numFmtId="0" fontId="17" fillId="96" borderId="6" xfId="0" applyFont="1" applyFill="1" applyBorder="1" applyAlignment="1">
      <alignment horizontal="left" vertical="center"/>
    </xf>
    <xf numFmtId="9" fontId="17" fillId="96" borderId="7" xfId="0" applyNumberFormat="1" applyFont="1" applyFill="1" applyBorder="1" applyAlignment="1">
      <alignment horizontal="center" vertical="center"/>
    </xf>
    <xf numFmtId="172" fontId="16" fillId="96" borderId="6" xfId="0" applyNumberFormat="1" applyFont="1" applyFill="1" applyBorder="1" applyAlignment="1">
      <alignment horizontal="center" vertical="center"/>
    </xf>
    <xf numFmtId="172" fontId="16" fillId="96" borderId="6" xfId="0" applyNumberFormat="1" applyFont="1" applyFill="1" applyBorder="1" applyAlignment="1">
      <alignment horizontal="center"/>
    </xf>
    <xf numFmtId="0" fontId="7" fillId="96" borderId="11" xfId="0" applyFont="1" applyFill="1" applyBorder="1" applyAlignment="1">
      <alignment horizontal="left" vertical="center" wrapText="1"/>
    </xf>
    <xf numFmtId="9" fontId="7" fillId="96" borderId="11" xfId="0" applyNumberFormat="1" applyFont="1" applyFill="1" applyBorder="1" applyAlignment="1">
      <alignment horizontal="center" vertical="center"/>
    </xf>
    <xf numFmtId="9" fontId="17" fillId="96" borderId="11" xfId="0" applyNumberFormat="1" applyFont="1" applyFill="1" applyBorder="1" applyAlignment="1">
      <alignment horizontal="center" vertical="center"/>
    </xf>
    <xf numFmtId="0" fontId="17" fillId="96" borderId="11" xfId="0" applyFont="1" applyFill="1" applyBorder="1" applyAlignment="1">
      <alignment horizontal="left" vertical="center"/>
    </xf>
    <xf numFmtId="172" fontId="16" fillId="96" borderId="11" xfId="0" applyNumberFormat="1" applyFont="1" applyFill="1" applyBorder="1" applyAlignment="1">
      <alignment horizontal="center" vertical="center"/>
    </xf>
    <xf numFmtId="9" fontId="16" fillId="96" borderId="11" xfId="0" applyNumberFormat="1" applyFont="1" applyFill="1" applyBorder="1" applyAlignment="1">
      <alignment horizontal="center" vertical="center"/>
    </xf>
    <xf numFmtId="172" fontId="16" fillId="96" borderId="11" xfId="0" applyNumberFormat="1" applyFont="1" applyFill="1" applyBorder="1" applyAlignment="1">
      <alignment horizontal="center"/>
    </xf>
    <xf numFmtId="0" fontId="6" fillId="24" borderId="11" xfId="0" applyFont="1" applyFill="1" applyBorder="1" applyAlignment="1">
      <alignment vertical="center" wrapText="1"/>
    </xf>
    <xf numFmtId="166" fontId="6" fillId="24" borderId="11" xfId="0" applyNumberFormat="1" applyFont="1" applyFill="1" applyBorder="1" applyAlignment="1">
      <alignment vertical="center"/>
    </xf>
    <xf numFmtId="166" fontId="6" fillId="24" borderId="11" xfId="0" applyNumberFormat="1" applyFont="1" applyFill="1" applyBorder="1" applyAlignment="1">
      <alignment horizontal="right" vertical="center"/>
    </xf>
    <xf numFmtId="0" fontId="18" fillId="24" borderId="11" xfId="0" applyFont="1" applyFill="1" applyBorder="1"/>
    <xf numFmtId="166" fontId="7" fillId="96" borderId="11" xfId="0" applyNumberFormat="1" applyFont="1" applyFill="1" applyBorder="1" applyAlignment="1">
      <alignment horizontal="right" vertical="center"/>
    </xf>
    <xf numFmtId="0" fontId="6" fillId="24" borderId="11" xfId="0" applyFont="1" applyFill="1" applyBorder="1" applyAlignment="1">
      <alignment wrapText="1"/>
    </xf>
    <xf numFmtId="1" fontId="16" fillId="96" borderId="11" xfId="0" applyNumberFormat="1" applyFont="1" applyFill="1" applyBorder="1" applyAlignment="1">
      <alignment horizontal="center" vertical="center"/>
    </xf>
    <xf numFmtId="1" fontId="17" fillId="96" borderId="11" xfId="0" applyNumberFormat="1" applyFont="1" applyFill="1" applyBorder="1" applyAlignment="1">
      <alignment horizontal="center" vertical="center"/>
    </xf>
    <xf numFmtId="174" fontId="6" fillId="24" borderId="11" xfId="0" applyNumberFormat="1" applyFont="1" applyFill="1" applyBorder="1" applyAlignment="1">
      <alignment horizontal="right" vertical="center"/>
    </xf>
    <xf numFmtId="166" fontId="16" fillId="96" borderId="11" xfId="0" applyNumberFormat="1" applyFont="1" applyFill="1" applyBorder="1" applyAlignment="1">
      <alignment horizontal="right" vertical="center"/>
    </xf>
    <xf numFmtId="0" fontId="16" fillId="96" borderId="16" xfId="0" applyFont="1" applyFill="1" applyBorder="1" applyAlignment="1">
      <alignment horizontal="left" vertical="center" wrapText="1"/>
    </xf>
    <xf numFmtId="0" fontId="7" fillId="96" borderId="16" xfId="0" applyFont="1" applyFill="1" applyBorder="1" applyAlignment="1">
      <alignment horizontal="center" vertical="center" wrapText="1"/>
    </xf>
    <xf numFmtId="0" fontId="27" fillId="96" borderId="16" xfId="0" applyFont="1" applyFill="1" applyBorder="1" applyAlignment="1">
      <alignment horizontal="center" vertical="center" wrapText="1"/>
    </xf>
    <xf numFmtId="0" fontId="27" fillId="96" borderId="16" xfId="0" applyFont="1" applyFill="1" applyBorder="1" applyAlignment="1">
      <alignment horizontal="center" vertical="center"/>
    </xf>
    <xf numFmtId="0" fontId="17" fillId="96" borderId="22" xfId="0" applyFont="1" applyFill="1" applyBorder="1" applyAlignment="1">
      <alignment horizontal="center" vertical="center"/>
    </xf>
    <xf numFmtId="0" fontId="17" fillId="96" borderId="16" xfId="0" applyFont="1" applyFill="1" applyBorder="1" applyAlignment="1">
      <alignment horizontal="center" vertical="center"/>
    </xf>
    <xf numFmtId="0" fontId="17" fillId="96" borderId="16" xfId="0" applyFont="1" applyFill="1" applyBorder="1" applyAlignment="1">
      <alignment horizontal="left" vertical="center"/>
    </xf>
    <xf numFmtId="0" fontId="17" fillId="96" borderId="23" xfId="0" applyFont="1" applyFill="1" applyBorder="1" applyAlignment="1">
      <alignment horizontal="center" vertical="center"/>
    </xf>
    <xf numFmtId="172" fontId="16" fillId="96" borderId="16" xfId="0" applyNumberFormat="1" applyFont="1" applyFill="1" applyBorder="1" applyAlignment="1">
      <alignment horizontal="center" vertical="center"/>
    </xf>
    <xf numFmtId="9" fontId="16" fillId="96" borderId="16" xfId="0" applyNumberFormat="1" applyFont="1" applyFill="1" applyBorder="1" applyAlignment="1">
      <alignment horizontal="center" vertical="center"/>
    </xf>
    <xf numFmtId="172" fontId="16" fillId="96" borderId="16" xfId="0" applyNumberFormat="1" applyFont="1" applyFill="1" applyBorder="1" applyAlignment="1">
      <alignment horizontal="center"/>
    </xf>
    <xf numFmtId="0" fontId="16" fillId="96" borderId="13" xfId="0" applyFont="1" applyFill="1" applyBorder="1" applyAlignment="1">
      <alignment horizontal="left" vertical="center" wrapText="1"/>
    </xf>
    <xf numFmtId="9" fontId="16" fillId="96" borderId="13" xfId="0" applyNumberFormat="1" applyFont="1" applyFill="1" applyBorder="1" applyAlignment="1">
      <alignment horizontal="center" vertical="center" wrapText="1"/>
    </xf>
    <xf numFmtId="9" fontId="7" fillId="96" borderId="13" xfId="5" applyFont="1" applyFill="1" applyBorder="1" applyAlignment="1">
      <alignment horizontal="center" vertical="center" wrapText="1"/>
    </xf>
    <xf numFmtId="9" fontId="7" fillId="96" borderId="13" xfId="5" applyFont="1" applyFill="1" applyBorder="1" applyAlignment="1">
      <alignment horizontal="center" vertical="center"/>
    </xf>
    <xf numFmtId="0" fontId="17" fillId="96" borderId="1" xfId="0" applyFont="1" applyFill="1" applyBorder="1" applyAlignment="1">
      <alignment horizontal="center" vertical="center"/>
    </xf>
    <xf numFmtId="172" fontId="17" fillId="96" borderId="13" xfId="0" applyNumberFormat="1" applyFont="1" applyFill="1" applyBorder="1" applyAlignment="1">
      <alignment horizontal="center" vertical="center"/>
    </xf>
    <xf numFmtId="0" fontId="16" fillId="96" borderId="13" xfId="0" applyFont="1" applyFill="1" applyBorder="1" applyAlignment="1">
      <alignment horizontal="center" vertical="center"/>
    </xf>
    <xf numFmtId="0" fontId="17" fillId="96" borderId="13" xfId="0" applyFont="1" applyFill="1" applyBorder="1" applyAlignment="1">
      <alignment horizontal="center" vertical="center"/>
    </xf>
    <xf numFmtId="0" fontId="17" fillId="96" borderId="51" xfId="0" applyFont="1" applyFill="1" applyBorder="1" applyAlignment="1">
      <alignment horizontal="center" vertical="center"/>
    </xf>
    <xf numFmtId="9" fontId="17" fillId="96" borderId="13" xfId="0" applyNumberFormat="1" applyFont="1" applyFill="1" applyBorder="1" applyAlignment="1">
      <alignment horizontal="left" vertical="center"/>
    </xf>
    <xf numFmtId="9" fontId="17" fillId="96" borderId="12" xfId="0" applyNumberFormat="1" applyFont="1" applyFill="1" applyBorder="1" applyAlignment="1">
      <alignment horizontal="center" vertical="center"/>
    </xf>
    <xf numFmtId="9" fontId="17" fillId="96" borderId="6" xfId="0" applyNumberFormat="1" applyFont="1" applyFill="1" applyBorder="1" applyAlignment="1">
      <alignment horizontal="center" vertical="center"/>
    </xf>
    <xf numFmtId="172" fontId="16" fillId="96" borderId="26" xfId="0" applyNumberFormat="1" applyFont="1" applyFill="1" applyBorder="1" applyAlignment="1">
      <alignment horizontal="center" vertical="center"/>
    </xf>
    <xf numFmtId="0" fontId="6" fillId="97" borderId="6" xfId="0" applyFont="1" applyFill="1" applyBorder="1" applyAlignment="1">
      <alignment horizontal="left" vertical="center" wrapText="1"/>
    </xf>
    <xf numFmtId="9" fontId="6" fillId="97" borderId="7" xfId="0" applyNumberFormat="1" applyFont="1" applyFill="1" applyBorder="1" applyAlignment="1">
      <alignment horizontal="center" vertical="center" wrapText="1"/>
    </xf>
    <xf numFmtId="9" fontId="6" fillId="97" borderId="6" xfId="0" applyNumberFormat="1" applyFont="1" applyFill="1" applyBorder="1" applyAlignment="1">
      <alignment horizontal="center" vertical="center"/>
    </xf>
    <xf numFmtId="9" fontId="6" fillId="97" borderId="7" xfId="0" applyNumberFormat="1" applyFont="1" applyFill="1" applyBorder="1" applyAlignment="1">
      <alignment horizontal="center" vertical="center"/>
    </xf>
    <xf numFmtId="9" fontId="6" fillId="97" borderId="6" xfId="0" applyNumberFormat="1" applyFont="1" applyFill="1" applyBorder="1" applyAlignment="1">
      <alignment horizontal="left" vertical="center" wrapText="1"/>
    </xf>
    <xf numFmtId="0" fontId="6" fillId="97" borderId="13" xfId="0" applyFont="1" applyFill="1" applyBorder="1" applyAlignment="1">
      <alignment horizontal="left" vertical="center" wrapText="1"/>
    </xf>
    <xf numFmtId="0" fontId="16" fillId="97" borderId="13" xfId="0" applyFont="1" applyFill="1" applyBorder="1" applyAlignment="1">
      <alignment horizontal="left" vertical="center" wrapText="1"/>
    </xf>
    <xf numFmtId="9" fontId="7" fillId="97" borderId="13" xfId="0" applyNumberFormat="1" applyFont="1" applyFill="1" applyBorder="1" applyAlignment="1">
      <alignment horizontal="center" vertical="center" wrapText="1"/>
    </xf>
    <xf numFmtId="9" fontId="16" fillId="97" borderId="3" xfId="0" applyNumberFormat="1" applyFont="1" applyFill="1" applyBorder="1" applyAlignment="1">
      <alignment horizontal="center" vertical="center"/>
    </xf>
    <xf numFmtId="9" fontId="16" fillId="97" borderId="13" xfId="0" applyNumberFormat="1" applyFont="1" applyFill="1" applyBorder="1" applyAlignment="1">
      <alignment horizontal="center" vertical="center"/>
    </xf>
    <xf numFmtId="0" fontId="8" fillId="98" borderId="13" xfId="0" applyFont="1" applyFill="1" applyBorder="1" applyAlignment="1">
      <alignment horizontal="left" vertical="center" wrapText="1"/>
    </xf>
    <xf numFmtId="0" fontId="6" fillId="98" borderId="13" xfId="0" applyFont="1" applyFill="1" applyBorder="1" applyAlignment="1">
      <alignment horizontal="center" vertical="center"/>
    </xf>
    <xf numFmtId="167" fontId="7" fillId="98" borderId="13" xfId="0" applyNumberFormat="1" applyFont="1" applyFill="1" applyBorder="1" applyAlignment="1">
      <alignment horizontal="center" vertical="center"/>
    </xf>
    <xf numFmtId="9" fontId="7" fillId="98" borderId="13" xfId="0" applyNumberFormat="1" applyFont="1" applyFill="1" applyBorder="1" applyAlignment="1">
      <alignment horizontal="center" vertical="center"/>
    </xf>
    <xf numFmtId="0" fontId="8" fillId="41" borderId="13" xfId="0" applyFont="1" applyFill="1" applyBorder="1" applyAlignment="1">
      <alignment horizontal="justify" vertical="center" wrapText="1"/>
    </xf>
    <xf numFmtId="0" fontId="8" fillId="41" borderId="13" xfId="0" applyFont="1" applyFill="1" applyBorder="1" applyAlignment="1">
      <alignment horizontal="center" vertical="center" wrapText="1"/>
    </xf>
    <xf numFmtId="1" fontId="8" fillId="98" borderId="13" xfId="0" applyNumberFormat="1" applyFont="1" applyFill="1" applyBorder="1" applyAlignment="1">
      <alignment horizontal="center" vertical="center"/>
    </xf>
    <xf numFmtId="0" fontId="7" fillId="98" borderId="13" xfId="0" applyFont="1" applyFill="1" applyBorder="1" applyAlignment="1">
      <alignment horizontal="center" vertical="center"/>
    </xf>
    <xf numFmtId="9" fontId="8" fillId="41" borderId="13" xfId="0" applyNumberFormat="1" applyFont="1" applyFill="1" applyBorder="1" applyAlignment="1">
      <alignment horizontal="center" vertical="center" wrapText="1"/>
    </xf>
    <xf numFmtId="9" fontId="8" fillId="98" borderId="13" xfId="0" applyNumberFormat="1" applyFont="1" applyFill="1" applyBorder="1" applyAlignment="1">
      <alignment horizontal="center" vertical="center"/>
    </xf>
    <xf numFmtId="0" fontId="7" fillId="98" borderId="13" xfId="0" applyFont="1" applyFill="1" applyBorder="1" applyAlignment="1">
      <alignment horizontal="left" vertical="center" wrapText="1"/>
    </xf>
    <xf numFmtId="0" fontId="6" fillId="99" borderId="13" xfId="0" applyFont="1" applyFill="1" applyBorder="1" applyAlignment="1">
      <alignment horizontal="center" vertical="center"/>
    </xf>
    <xf numFmtId="1" fontId="6" fillId="99" borderId="13" xfId="0" applyNumberFormat="1" applyFont="1" applyFill="1" applyBorder="1" applyAlignment="1">
      <alignment horizontal="center" vertical="center"/>
    </xf>
    <xf numFmtId="0" fontId="8" fillId="98" borderId="13" xfId="0" applyFont="1" applyFill="1" applyBorder="1" applyAlignment="1">
      <alignment horizontal="center" vertical="center"/>
    </xf>
    <xf numFmtId="0" fontId="8" fillId="41" borderId="13" xfId="0" applyFont="1" applyFill="1" applyBorder="1" applyAlignment="1">
      <alignment horizontal="left" vertical="center" wrapText="1"/>
    </xf>
    <xf numFmtId="0" fontId="6" fillId="41" borderId="13" xfId="0" applyFont="1" applyFill="1" applyBorder="1" applyAlignment="1">
      <alignment horizontal="center" vertical="center"/>
    </xf>
    <xf numFmtId="1" fontId="8" fillId="41" borderId="13" xfId="0" applyNumberFormat="1" applyFont="1" applyFill="1" applyBorder="1" applyAlignment="1">
      <alignment horizontal="center" vertical="center" wrapText="1"/>
    </xf>
    <xf numFmtId="164" fontId="8" fillId="35" borderId="6" xfId="4" applyNumberFormat="1" applyFont="1" applyFill="1" applyBorder="1" applyAlignment="1">
      <alignment horizontal="center" vertical="center"/>
    </xf>
    <xf numFmtId="164" fontId="8" fillId="47" borderId="6" xfId="4" applyNumberFormat="1" applyFont="1" applyFill="1" applyBorder="1" applyAlignment="1">
      <alignment horizontal="center" vertical="center"/>
    </xf>
    <xf numFmtId="9" fontId="8" fillId="35" borderId="6" xfId="7" applyFont="1" applyFill="1" applyBorder="1" applyAlignment="1">
      <alignment horizontal="center" vertical="center"/>
    </xf>
    <xf numFmtId="164" fontId="8" fillId="47" borderId="6" xfId="0" applyNumberFormat="1" applyFont="1" applyFill="1" applyBorder="1" applyAlignment="1">
      <alignment horizontal="center"/>
    </xf>
    <xf numFmtId="164" fontId="8" fillId="47" borderId="6" xfId="0" applyNumberFormat="1" applyFont="1" applyFill="1" applyBorder="1" applyAlignment="1">
      <alignment horizontal="center" vertical="center"/>
    </xf>
    <xf numFmtId="164" fontId="8" fillId="41" borderId="11" xfId="0" applyNumberFormat="1" applyFont="1" applyFill="1" applyBorder="1" applyAlignment="1">
      <alignment horizontal="center" vertical="center"/>
    </xf>
    <xf numFmtId="164" fontId="8" fillId="98" borderId="11" xfId="0" applyNumberFormat="1" applyFont="1" applyFill="1" applyBorder="1" applyAlignment="1">
      <alignment horizontal="center" vertical="center"/>
    </xf>
    <xf numFmtId="165" fontId="6" fillId="98" borderId="11" xfId="0" applyNumberFormat="1" applyFont="1" applyFill="1" applyBorder="1" applyAlignment="1">
      <alignment vertical="center"/>
    </xf>
    <xf numFmtId="164" fontId="8" fillId="45" borderId="16" xfId="0" applyNumberFormat="1" applyFont="1" applyFill="1" applyBorder="1" applyAlignment="1">
      <alignment horizontal="center" vertical="center" wrapText="1"/>
    </xf>
    <xf numFmtId="164" fontId="8" fillId="45" borderId="13"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left"/>
    </xf>
    <xf numFmtId="0" fontId="8" fillId="0" borderId="47" xfId="0" applyFont="1" applyFill="1" applyBorder="1" applyAlignment="1">
      <alignment horizontal="center" vertical="center"/>
    </xf>
    <xf numFmtId="164" fontId="8" fillId="0" borderId="13"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0" fontId="8" fillId="0" borderId="11" xfId="5" applyNumberFormat="1" applyFont="1" applyFill="1" applyBorder="1" applyAlignment="1">
      <alignment horizontal="center" vertical="center"/>
    </xf>
    <xf numFmtId="164" fontId="7" fillId="0" borderId="13"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41" fontId="8" fillId="0" borderId="11" xfId="2"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41" fontId="8" fillId="0" borderId="7" xfId="2" applyFont="1" applyFill="1" applyBorder="1" applyAlignment="1">
      <alignment horizontal="center" vertical="center"/>
    </xf>
    <xf numFmtId="9" fontId="16" fillId="96" borderId="26" xfId="0" applyNumberFormat="1" applyFont="1" applyFill="1" applyBorder="1" applyAlignment="1">
      <alignment horizontal="center" vertical="center"/>
    </xf>
    <xf numFmtId="172" fontId="16" fillId="96" borderId="26" xfId="0" applyNumberFormat="1" applyFont="1" applyFill="1" applyBorder="1" applyAlignment="1">
      <alignment horizontal="center"/>
    </xf>
    <xf numFmtId="164" fontId="8" fillId="35" borderId="1" xfId="2" applyNumberFormat="1" applyFont="1" applyFill="1" applyBorder="1" applyAlignment="1">
      <alignment horizontal="center" vertical="center"/>
    </xf>
    <xf numFmtId="0" fontId="6" fillId="7" borderId="22" xfId="0" applyFont="1" applyFill="1" applyBorder="1" applyAlignment="1">
      <alignment horizontal="left" vertical="center"/>
    </xf>
    <xf numFmtId="0" fontId="6" fillId="9" borderId="22" xfId="0" applyFont="1" applyFill="1" applyBorder="1" applyAlignment="1">
      <alignment horizontal="left" vertical="center"/>
    </xf>
    <xf numFmtId="165" fontId="11" fillId="35" borderId="0" xfId="3" applyNumberFormat="1" applyFont="1" applyFill="1" applyBorder="1" applyAlignment="1">
      <alignment horizontal="center" vertical="center" wrapText="1"/>
    </xf>
    <xf numFmtId="165" fontId="11" fillId="35" borderId="0" xfId="3" applyNumberFormat="1" applyFont="1" applyFill="1" applyBorder="1" applyAlignment="1">
      <alignment horizontal="center" vertical="center"/>
    </xf>
    <xf numFmtId="172" fontId="18" fillId="24" borderId="11" xfId="0" applyNumberFormat="1" applyFont="1" applyFill="1" applyBorder="1"/>
    <xf numFmtId="172" fontId="18" fillId="24" borderId="11" xfId="0" applyNumberFormat="1" applyFont="1" applyFill="1" applyBorder="1" applyAlignment="1">
      <alignment vertical="center"/>
    </xf>
    <xf numFmtId="164" fontId="8" fillId="35" borderId="15" xfId="2" applyNumberFormat="1" applyFont="1" applyFill="1" applyBorder="1" applyAlignment="1">
      <alignment horizontal="center" vertical="center"/>
    </xf>
    <xf numFmtId="0" fontId="22" fillId="0" borderId="0" xfId="0" applyFont="1" applyFill="1" applyAlignment="1">
      <alignment wrapText="1"/>
    </xf>
    <xf numFmtId="168" fontId="22" fillId="0" borderId="0" xfId="0" applyNumberFormat="1" applyFont="1" applyFill="1" applyAlignment="1">
      <alignment wrapText="1"/>
    </xf>
    <xf numFmtId="168" fontId="6" fillId="0" borderId="11" xfId="0" applyNumberFormat="1" applyFont="1" applyFill="1" applyBorder="1" applyAlignment="1">
      <alignment vertical="center" wrapText="1"/>
    </xf>
    <xf numFmtId="168" fontId="7" fillId="0" borderId="11" xfId="0" applyNumberFormat="1" applyFont="1" applyFill="1" applyBorder="1" applyAlignment="1">
      <alignment vertical="center" wrapText="1"/>
    </xf>
    <xf numFmtId="168" fontId="24" fillId="0" borderId="11" xfId="0" applyNumberFormat="1" applyFont="1" applyFill="1" applyBorder="1" applyAlignment="1">
      <alignment vertical="center" wrapText="1"/>
    </xf>
    <xf numFmtId="0" fontId="22" fillId="0" borderId="11" xfId="0" applyFont="1" applyFill="1" applyBorder="1" applyAlignment="1">
      <alignment vertical="center" wrapText="1"/>
    </xf>
    <xf numFmtId="168" fontId="22" fillId="0" borderId="11" xfId="0" applyNumberFormat="1" applyFont="1" applyFill="1" applyBorder="1" applyAlignment="1">
      <alignment vertical="center" wrapText="1"/>
    </xf>
    <xf numFmtId="168" fontId="8" fillId="0" borderId="11" xfId="0" applyNumberFormat="1" applyFont="1" applyFill="1" applyBorder="1" applyAlignment="1">
      <alignment vertical="center" wrapText="1"/>
    </xf>
    <xf numFmtId="165" fontId="11" fillId="0" borderId="11" xfId="3" applyNumberFormat="1" applyFont="1" applyFill="1" applyBorder="1" applyAlignment="1">
      <alignment horizontal="center" vertical="center" wrapText="1"/>
    </xf>
    <xf numFmtId="168" fontId="22" fillId="0" borderId="11" xfId="1" applyNumberFormat="1" applyFont="1" applyFill="1" applyBorder="1" applyAlignment="1">
      <alignment vertical="center" wrapText="1"/>
    </xf>
    <xf numFmtId="168" fontId="8" fillId="0" borderId="11" xfId="0" applyNumberFormat="1" applyFont="1" applyFill="1" applyBorder="1" applyAlignment="1">
      <alignment horizontal="center" vertical="center" wrapText="1"/>
    </xf>
    <xf numFmtId="168" fontId="7" fillId="0" borderId="11" xfId="0" applyNumberFormat="1" applyFont="1" applyFill="1" applyBorder="1" applyAlignment="1">
      <alignment horizontal="center" vertical="center" wrapText="1"/>
    </xf>
    <xf numFmtId="168" fontId="8" fillId="0" borderId="11" xfId="2" applyNumberFormat="1" applyFont="1" applyFill="1" applyBorder="1" applyAlignment="1">
      <alignment vertical="center" wrapText="1"/>
    </xf>
    <xf numFmtId="168" fontId="8" fillId="0" borderId="11" xfId="2"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xf numFmtId="0" fontId="3" fillId="0" borderId="0" xfId="0" applyFont="1" applyAlignment="1"/>
    <xf numFmtId="0" fontId="21" fillId="18" borderId="11" xfId="0" applyFont="1" applyFill="1" applyBorder="1" applyAlignment="1">
      <alignment horizontal="center" vertical="center" wrapText="1"/>
    </xf>
    <xf numFmtId="165" fontId="11" fillId="18" borderId="11" xfId="3" applyNumberFormat="1" applyFont="1" applyFill="1" applyBorder="1" applyAlignment="1">
      <alignment horizontal="center" vertical="center" wrapText="1"/>
    </xf>
    <xf numFmtId="0" fontId="21" fillId="18" borderId="11" xfId="0" applyFont="1" applyFill="1" applyBorder="1" applyAlignment="1">
      <alignment horizontal="center" vertical="center"/>
    </xf>
    <xf numFmtId="0" fontId="30" fillId="18" borderId="11" xfId="0" applyFont="1" applyFill="1" applyBorder="1" applyAlignment="1">
      <alignment horizontal="center" wrapText="1"/>
    </xf>
    <xf numFmtId="0" fontId="11" fillId="18" borderId="11" xfId="0" applyFont="1" applyFill="1" applyBorder="1" applyAlignment="1">
      <alignment horizontal="center" vertical="center" wrapText="1"/>
    </xf>
    <xf numFmtId="0" fontId="31" fillId="0" borderId="11" xfId="0" applyFont="1" applyFill="1" applyBorder="1" applyAlignment="1">
      <alignment vertical="center" wrapText="1"/>
    </xf>
    <xf numFmtId="0" fontId="22" fillId="0" borderId="11" xfId="0" applyFont="1" applyFill="1" applyBorder="1" applyAlignment="1">
      <alignment horizontal="left" vertical="center" wrapText="1"/>
    </xf>
    <xf numFmtId="0" fontId="32" fillId="0" borderId="11" xfId="0" applyFont="1" applyFill="1" applyBorder="1" applyAlignment="1">
      <alignment vertical="center" wrapText="1"/>
    </xf>
    <xf numFmtId="0" fontId="31" fillId="0" borderId="11"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3" fillId="0" borderId="11" xfId="0" applyFont="1" applyFill="1" applyBorder="1" applyAlignment="1">
      <alignment vertical="center" wrapText="1"/>
    </xf>
    <xf numFmtId="168" fontId="35" fillId="18" borderId="0" xfId="0" applyNumberFormat="1" applyFont="1" applyFill="1" applyAlignment="1">
      <alignment vertical="center" wrapText="1"/>
    </xf>
    <xf numFmtId="0" fontId="15" fillId="56" borderId="13" xfId="0" applyFont="1" applyFill="1" applyBorder="1" applyAlignment="1">
      <alignment horizontal="left" vertical="center" wrapText="1"/>
    </xf>
    <xf numFmtId="0" fontId="15" fillId="56" borderId="13" xfId="0" applyFont="1" applyFill="1" applyBorder="1" applyAlignment="1">
      <alignment horizontal="center" vertical="center" wrapText="1"/>
    </xf>
    <xf numFmtId="0" fontId="15" fillId="56" borderId="13" xfId="0" applyFont="1" applyFill="1" applyBorder="1" applyAlignment="1">
      <alignment horizontal="center" vertical="center"/>
    </xf>
    <xf numFmtId="166" fontId="22" fillId="0" borderId="11" xfId="1" applyNumberFormat="1" applyFont="1" applyFill="1" applyBorder="1" applyAlignment="1">
      <alignment vertical="center" wrapText="1"/>
    </xf>
    <xf numFmtId="166" fontId="6" fillId="0" borderId="11" xfId="0" applyNumberFormat="1" applyFont="1" applyFill="1" applyBorder="1" applyAlignment="1">
      <alignment vertical="center" wrapText="1"/>
    </xf>
    <xf numFmtId="166" fontId="8" fillId="0" borderId="11" xfId="0" applyNumberFormat="1" applyFont="1" applyFill="1" applyBorder="1" applyAlignment="1">
      <alignment vertical="center" wrapText="1"/>
    </xf>
    <xf numFmtId="166" fontId="8" fillId="0" borderId="11" xfId="0" applyNumberFormat="1" applyFont="1" applyFill="1" applyBorder="1" applyAlignment="1">
      <alignment horizontal="center" vertical="center" wrapText="1"/>
    </xf>
    <xf numFmtId="166" fontId="7" fillId="0" borderId="11" xfId="0" applyNumberFormat="1" applyFont="1" applyFill="1" applyBorder="1" applyAlignment="1">
      <alignment vertical="center" wrapText="1"/>
    </xf>
    <xf numFmtId="166" fontId="7" fillId="0" borderId="11" xfId="0" applyNumberFormat="1" applyFont="1" applyFill="1" applyBorder="1" applyAlignment="1">
      <alignment horizontal="center" vertical="center" wrapText="1"/>
    </xf>
    <xf numFmtId="166" fontId="24" fillId="0" borderId="11" xfId="0" applyNumberFormat="1" applyFont="1" applyFill="1" applyBorder="1" applyAlignment="1">
      <alignment vertical="center" wrapText="1"/>
    </xf>
    <xf numFmtId="166" fontId="8" fillId="0" borderId="11" xfId="2" applyNumberFormat="1" applyFont="1" applyFill="1" applyBorder="1" applyAlignment="1">
      <alignment vertical="center" wrapText="1"/>
    </xf>
    <xf numFmtId="166" fontId="8" fillId="0" borderId="11" xfId="2" applyNumberFormat="1" applyFont="1" applyFill="1" applyBorder="1" applyAlignment="1">
      <alignment horizontal="center" vertical="center" wrapText="1"/>
    </xf>
    <xf numFmtId="166" fontId="22" fillId="0" borderId="11" xfId="0" applyNumberFormat="1" applyFont="1" applyFill="1" applyBorder="1" applyAlignment="1">
      <alignment vertical="center" wrapText="1"/>
    </xf>
    <xf numFmtId="166" fontId="35" fillId="18" borderId="0" xfId="0" applyNumberFormat="1" applyFont="1" applyFill="1" applyAlignment="1">
      <alignment vertical="center" wrapText="1"/>
    </xf>
    <xf numFmtId="164" fontId="8" fillId="35" borderId="15" xfId="2" applyNumberFormat="1" applyFont="1" applyFill="1" applyBorder="1" applyAlignment="1">
      <alignment horizontal="center" vertical="center"/>
    </xf>
    <xf numFmtId="0" fontId="22" fillId="67" borderId="11" xfId="0" applyFont="1" applyFill="1" applyBorder="1" applyAlignment="1">
      <alignment horizontal="left" vertical="center" wrapText="1"/>
    </xf>
    <xf numFmtId="9" fontId="22" fillId="67" borderId="11" xfId="0" applyNumberFormat="1" applyFont="1" applyFill="1" applyBorder="1" applyAlignment="1">
      <alignment horizontal="center" vertical="center" wrapText="1"/>
    </xf>
    <xf numFmtId="0" fontId="22" fillId="67" borderId="11"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11" xfId="0" applyFont="1" applyFill="1" applyBorder="1" applyAlignment="1">
      <alignment horizontal="center" vertical="center"/>
    </xf>
    <xf numFmtId="0" fontId="8" fillId="48" borderId="3" xfId="0" applyFont="1" applyFill="1" applyBorder="1" applyAlignment="1">
      <alignment horizontal="left"/>
    </xf>
    <xf numFmtId="0" fontId="8" fillId="74" borderId="12" xfId="0" applyFont="1" applyFill="1" applyBorder="1" applyAlignment="1">
      <alignment horizontal="center" vertical="center"/>
    </xf>
    <xf numFmtId="0" fontId="8" fillId="74" borderId="11" xfId="0" applyFont="1" applyFill="1" applyBorder="1" applyAlignment="1">
      <alignment horizontal="center" vertical="center"/>
    </xf>
    <xf numFmtId="1" fontId="8" fillId="48" borderId="11" xfId="2" applyNumberFormat="1" applyFont="1" applyFill="1" applyBorder="1" applyAlignment="1">
      <alignment horizontal="center" vertical="center" wrapText="1"/>
    </xf>
    <xf numFmtId="164" fontId="18" fillId="24" borderId="11" xfId="0" applyNumberFormat="1" applyFont="1" applyFill="1" applyBorder="1"/>
    <xf numFmtId="0" fontId="8" fillId="48" borderId="11" xfId="0" applyFont="1" applyFill="1" applyBorder="1" applyAlignment="1">
      <alignment horizontal="justify" vertical="center"/>
    </xf>
    <xf numFmtId="165" fontId="8" fillId="34" borderId="15" xfId="0" applyNumberFormat="1" applyFont="1" applyFill="1" applyBorder="1" applyAlignment="1">
      <alignment horizontal="center"/>
    </xf>
    <xf numFmtId="9" fontId="8" fillId="22" borderId="23" xfId="0" applyNumberFormat="1" applyFont="1" applyFill="1" applyBorder="1" applyAlignment="1">
      <alignment horizontal="center" vertical="center"/>
    </xf>
    <xf numFmtId="164" fontId="8" fillId="23" borderId="0" xfId="0" applyNumberFormat="1" applyFont="1" applyFill="1" applyBorder="1" applyAlignment="1">
      <alignment horizontal="left" vertical="center"/>
    </xf>
    <xf numFmtId="164" fontId="8" fillId="23" borderId="0" xfId="8" applyNumberFormat="1" applyFont="1" applyFill="1" applyBorder="1" applyAlignment="1">
      <alignment horizontal="left" vertical="center"/>
    </xf>
    <xf numFmtId="9" fontId="8" fillId="23" borderId="16" xfId="5" applyFont="1" applyFill="1" applyBorder="1" applyAlignment="1">
      <alignment horizontal="center" vertical="center"/>
    </xf>
    <xf numFmtId="0" fontId="6" fillId="5" borderId="13" xfId="0" applyFont="1" applyFill="1" applyBorder="1" applyAlignment="1">
      <alignment horizontal="left" vertical="center" wrapText="1"/>
    </xf>
    <xf numFmtId="9" fontId="7" fillId="7" borderId="26" xfId="0" applyNumberFormat="1" applyFont="1" applyFill="1" applyBorder="1" applyAlignment="1">
      <alignment horizontal="center" vertical="center" wrapText="1"/>
    </xf>
    <xf numFmtId="0" fontId="6" fillId="7" borderId="0" xfId="0" applyFont="1" applyFill="1" applyBorder="1" applyAlignment="1"/>
    <xf numFmtId="0" fontId="6" fillId="21" borderId="0" xfId="0" applyFont="1" applyFill="1" applyBorder="1" applyAlignment="1"/>
    <xf numFmtId="164" fontId="6" fillId="6" borderId="6" xfId="0" applyNumberFormat="1" applyFont="1" applyFill="1" applyBorder="1" applyAlignment="1">
      <alignment horizontal="left" vertical="center"/>
    </xf>
    <xf numFmtId="0" fontId="6" fillId="7" borderId="81" xfId="0" applyFont="1" applyFill="1" applyBorder="1" applyAlignment="1">
      <alignment horizontal="left" vertical="center"/>
    </xf>
    <xf numFmtId="0" fontId="6" fillId="7" borderId="6" xfId="0" applyFont="1" applyFill="1" applyBorder="1" applyAlignment="1">
      <alignment horizontal="left" vertical="center"/>
    </xf>
    <xf numFmtId="0" fontId="6" fillId="7" borderId="11" xfId="0" applyFont="1" applyFill="1" applyBorder="1" applyAlignment="1">
      <alignment horizontal="left" vertical="center"/>
    </xf>
    <xf numFmtId="0" fontId="6" fillId="7" borderId="11" xfId="0" applyFont="1" applyFill="1" applyBorder="1" applyAlignment="1"/>
    <xf numFmtId="168" fontId="6" fillId="15" borderId="11" xfId="0" applyNumberFormat="1" applyFont="1" applyFill="1" applyBorder="1" applyAlignment="1">
      <alignment vertical="center" wrapText="1"/>
    </xf>
    <xf numFmtId="168" fontId="8" fillId="15" borderId="11" xfId="0" applyNumberFormat="1" applyFont="1" applyFill="1" applyBorder="1" applyAlignment="1">
      <alignment vertical="center" wrapText="1"/>
    </xf>
    <xf numFmtId="0" fontId="8" fillId="16" borderId="11" xfId="0" applyFont="1" applyFill="1" applyBorder="1" applyAlignment="1">
      <alignment vertical="center" wrapText="1"/>
    </xf>
    <xf numFmtId="164" fontId="6" fillId="4" borderId="16" xfId="0" applyNumberFormat="1" applyFont="1" applyFill="1" applyBorder="1" applyAlignment="1">
      <alignment horizontal="center" vertical="center"/>
    </xf>
    <xf numFmtId="9" fontId="8" fillId="23" borderId="22" xfId="5" applyFont="1" applyFill="1" applyBorder="1" applyAlignment="1">
      <alignment horizontal="center" vertical="center"/>
    </xf>
    <xf numFmtId="0" fontId="6" fillId="41" borderId="11" xfId="0" applyFont="1" applyFill="1" applyBorder="1" applyAlignment="1">
      <alignment horizontal="justify" vertical="center"/>
    </xf>
    <xf numFmtId="0" fontId="6" fillId="41" borderId="11" xfId="0" applyFont="1" applyFill="1" applyBorder="1" applyAlignment="1">
      <alignment horizontal="justify" vertical="center" wrapText="1"/>
    </xf>
    <xf numFmtId="9" fontId="6" fillId="41" borderId="11" xfId="0" applyNumberFormat="1" applyFont="1" applyFill="1" applyBorder="1" applyAlignment="1">
      <alignment horizontal="center" vertical="center" wrapText="1"/>
    </xf>
    <xf numFmtId="0" fontId="6" fillId="102" borderId="55" xfId="0" applyFont="1" applyFill="1" applyBorder="1" applyAlignment="1">
      <alignment horizontal="center" vertical="center"/>
    </xf>
    <xf numFmtId="0" fontId="6" fillId="102" borderId="48" xfId="0" applyFont="1" applyFill="1" applyBorder="1" applyAlignment="1">
      <alignment horizontal="center" vertical="center"/>
    </xf>
    <xf numFmtId="0" fontId="6" fillId="41" borderId="13" xfId="0" applyFont="1" applyFill="1" applyBorder="1" applyAlignment="1">
      <alignment horizontal="left" vertical="center"/>
    </xf>
    <xf numFmtId="9" fontId="6" fillId="101" borderId="47" xfId="0" applyNumberFormat="1" applyFont="1" applyFill="1" applyBorder="1" applyAlignment="1">
      <alignment horizontal="center" vertical="center"/>
    </xf>
    <xf numFmtId="164" fontId="6" fillId="103" borderId="13" xfId="8" applyNumberFormat="1" applyFont="1" applyFill="1" applyBorder="1" applyAlignment="1">
      <alignment horizontal="left" vertical="center"/>
    </xf>
    <xf numFmtId="164" fontId="6" fillId="41" borderId="16" xfId="3" applyNumberFormat="1" applyFont="1" applyFill="1" applyBorder="1" applyAlignment="1">
      <alignment horizontal="center" vertical="center"/>
    </xf>
    <xf numFmtId="164" fontId="6" fillId="103" borderId="13" xfId="0" applyNumberFormat="1" applyFont="1" applyFill="1" applyBorder="1" applyAlignment="1">
      <alignment horizontal="left" vertical="center"/>
    </xf>
    <xf numFmtId="9" fontId="6" fillId="41" borderId="13" xfId="5" applyFont="1" applyFill="1" applyBorder="1" applyAlignment="1">
      <alignment horizontal="center" vertical="center"/>
    </xf>
    <xf numFmtId="164" fontId="6" fillId="103" borderId="13" xfId="0" applyNumberFormat="1" applyFont="1" applyFill="1" applyBorder="1" applyAlignment="1">
      <alignment horizontal="center" vertical="center"/>
    </xf>
    <xf numFmtId="164" fontId="6" fillId="103" borderId="13" xfId="0" applyNumberFormat="1" applyFont="1" applyFill="1" applyBorder="1" applyAlignment="1">
      <alignment horizontal="center"/>
    </xf>
    <xf numFmtId="164" fontId="6" fillId="103" borderId="13" xfId="0" applyNumberFormat="1" applyFont="1" applyFill="1" applyBorder="1" applyAlignment="1">
      <alignment horizontal="left"/>
    </xf>
    <xf numFmtId="0" fontId="6" fillId="41" borderId="11" xfId="0" applyFont="1" applyFill="1" applyBorder="1" applyAlignment="1">
      <alignment horizontal="center" vertical="center" wrapText="1"/>
    </xf>
    <xf numFmtId="0" fontId="6" fillId="102" borderId="3" xfId="0" applyFont="1" applyFill="1" applyBorder="1" applyAlignment="1">
      <alignment horizontal="center" vertical="center"/>
    </xf>
    <xf numFmtId="0" fontId="6" fillId="102" borderId="13" xfId="0" applyFont="1" applyFill="1" applyBorder="1" applyAlignment="1">
      <alignment horizontal="center" vertical="center"/>
    </xf>
    <xf numFmtId="0" fontId="6" fillId="101" borderId="1" xfId="0" applyFont="1" applyFill="1" applyBorder="1" applyAlignment="1">
      <alignment horizontal="center" vertical="center"/>
    </xf>
    <xf numFmtId="164" fontId="6" fillId="41" borderId="11" xfId="6" applyNumberFormat="1" applyFont="1" applyFill="1" applyBorder="1" applyAlignment="1">
      <alignment horizontal="center" vertical="center"/>
    </xf>
    <xf numFmtId="164" fontId="6" fillId="41" borderId="11" xfId="0" applyNumberFormat="1" applyFont="1" applyFill="1" applyBorder="1" applyAlignment="1">
      <alignment horizontal="center" vertical="center"/>
    </xf>
    <xf numFmtId="164" fontId="6" fillId="41" borderId="22" xfId="3" applyNumberFormat="1" applyFont="1" applyFill="1" applyBorder="1" applyAlignment="1">
      <alignment horizontal="center" vertical="center"/>
    </xf>
    <xf numFmtId="0" fontId="6" fillId="103" borderId="3" xfId="0" applyFont="1" applyFill="1" applyBorder="1" applyAlignment="1">
      <alignment horizontal="center" vertical="center"/>
    </xf>
    <xf numFmtId="0" fontId="6" fillId="103" borderId="13" xfId="0" applyFont="1" applyFill="1" applyBorder="1" applyAlignment="1">
      <alignment horizontal="center" vertical="center"/>
    </xf>
    <xf numFmtId="164" fontId="6" fillId="103" borderId="16" xfId="8" applyNumberFormat="1" applyFont="1" applyFill="1" applyBorder="1" applyAlignment="1">
      <alignment horizontal="center" vertical="center"/>
    </xf>
    <xf numFmtId="9" fontId="6" fillId="103" borderId="13" xfId="5" applyFont="1" applyFill="1" applyBorder="1" applyAlignment="1">
      <alignment horizontal="center" vertical="center"/>
    </xf>
    <xf numFmtId="9" fontId="6" fillId="101" borderId="1" xfId="0" applyNumberFormat="1" applyFont="1" applyFill="1" applyBorder="1" applyAlignment="1">
      <alignment horizontal="center" vertical="center"/>
    </xf>
    <xf numFmtId="164" fontId="6" fillId="103" borderId="13" xfId="8" applyNumberFormat="1" applyFont="1" applyFill="1" applyBorder="1" applyAlignment="1">
      <alignment horizontal="center" vertical="center"/>
    </xf>
    <xf numFmtId="0" fontId="6" fillId="41" borderId="3" xfId="0" applyFont="1" applyFill="1" applyBorder="1" applyAlignment="1">
      <alignment horizontal="center" vertical="center"/>
    </xf>
    <xf numFmtId="164" fontId="6" fillId="41" borderId="11" xfId="8" applyNumberFormat="1" applyFont="1" applyFill="1" applyBorder="1" applyAlignment="1">
      <alignment vertical="center"/>
    </xf>
    <xf numFmtId="164" fontId="6" fillId="41" borderId="11" xfId="8" applyNumberFormat="1" applyFont="1" applyFill="1" applyBorder="1" applyAlignment="1">
      <alignment horizontal="right" vertical="center"/>
    </xf>
    <xf numFmtId="164" fontId="6" fillId="103" borderId="13" xfId="8" applyNumberFormat="1" applyFont="1" applyFill="1" applyBorder="1" applyAlignment="1">
      <alignment horizontal="right" vertical="center"/>
    </xf>
    <xf numFmtId="164" fontId="6" fillId="41" borderId="11" xfId="3" applyNumberFormat="1" applyFont="1" applyFill="1" applyBorder="1" applyAlignment="1"/>
    <xf numFmtId="164" fontId="6" fillId="41" borderId="11" xfId="0" applyNumberFormat="1" applyFont="1" applyFill="1" applyBorder="1" applyAlignment="1"/>
    <xf numFmtId="164" fontId="6" fillId="41" borderId="11" xfId="3" applyNumberFormat="1" applyFont="1" applyFill="1" applyBorder="1" applyAlignment="1">
      <alignment horizontal="right" vertical="center"/>
    </xf>
    <xf numFmtId="164" fontId="6" fillId="41" borderId="11" xfId="0" applyNumberFormat="1" applyFont="1" applyFill="1" applyBorder="1" applyAlignment="1">
      <alignment horizontal="right" vertical="center"/>
    </xf>
    <xf numFmtId="0" fontId="6" fillId="101" borderId="51" xfId="0" applyFont="1" applyFill="1" applyBorder="1" applyAlignment="1">
      <alignment horizontal="center" vertical="center"/>
    </xf>
    <xf numFmtId="0" fontId="6" fillId="41" borderId="58" xfId="0" applyFont="1" applyFill="1" applyBorder="1" applyAlignment="1">
      <alignment horizontal="center" vertical="center"/>
    </xf>
    <xf numFmtId="0" fontId="6" fillId="41" borderId="50" xfId="0" applyFont="1" applyFill="1" applyBorder="1" applyAlignment="1">
      <alignment horizontal="center" vertical="center"/>
    </xf>
    <xf numFmtId="164" fontId="6" fillId="41" borderId="11" xfId="8" applyNumberFormat="1" applyFont="1" applyFill="1" applyBorder="1" applyAlignment="1">
      <alignment horizontal="center" vertical="center"/>
    </xf>
    <xf numFmtId="165" fontId="6" fillId="101" borderId="50" xfId="0" applyNumberFormat="1" applyFont="1" applyFill="1" applyBorder="1" applyAlignment="1">
      <alignment horizontal="center" vertical="center"/>
    </xf>
    <xf numFmtId="164" fontId="6" fillId="41" borderId="13" xfId="0" applyNumberFormat="1" applyFont="1" applyFill="1" applyBorder="1" applyAlignment="1">
      <alignment horizontal="center"/>
    </xf>
    <xf numFmtId="0" fontId="8" fillId="104" borderId="11" xfId="0" applyFont="1" applyFill="1" applyBorder="1" applyAlignment="1">
      <alignment horizontal="left" vertical="center" wrapText="1"/>
    </xf>
    <xf numFmtId="0" fontId="8" fillId="104" borderId="11" xfId="0" applyFont="1" applyFill="1" applyBorder="1" applyAlignment="1">
      <alignment horizontal="center" vertical="center" wrapText="1"/>
    </xf>
    <xf numFmtId="9" fontId="8" fillId="104" borderId="11" xfId="0" applyNumberFormat="1" applyFont="1" applyFill="1" applyBorder="1" applyAlignment="1">
      <alignment horizontal="center" vertical="center"/>
    </xf>
    <xf numFmtId="9" fontId="8" fillId="30" borderId="11" xfId="0" applyNumberFormat="1" applyFont="1" applyFill="1" applyBorder="1" applyAlignment="1">
      <alignment horizontal="center" vertical="center"/>
    </xf>
    <xf numFmtId="9" fontId="8" fillId="30" borderId="11" xfId="5" applyFont="1" applyFill="1" applyBorder="1" applyAlignment="1">
      <alignment horizontal="center" vertical="center"/>
    </xf>
    <xf numFmtId="9" fontId="8" fillId="30" borderId="3" xfId="5" applyFont="1" applyFill="1" applyBorder="1" applyAlignment="1">
      <alignment horizontal="center" vertical="center"/>
    </xf>
    <xf numFmtId="0" fontId="8" fillId="30" borderId="3" xfId="0" applyFont="1" applyFill="1" applyBorder="1" applyAlignment="1">
      <alignment horizontal="center" vertical="center"/>
    </xf>
    <xf numFmtId="164" fontId="8" fillId="30" borderId="13" xfId="2" applyNumberFormat="1" applyFont="1" applyFill="1" applyBorder="1" applyAlignment="1">
      <alignment horizontal="center" vertical="center"/>
    </xf>
    <xf numFmtId="164" fontId="8" fillId="30" borderId="13" xfId="0" applyNumberFormat="1" applyFont="1" applyFill="1" applyBorder="1" applyAlignment="1">
      <alignment horizontal="center" vertical="center"/>
    </xf>
    <xf numFmtId="0" fontId="8" fillId="104" borderId="11" xfId="0" applyFont="1" applyFill="1" applyBorder="1" applyAlignment="1">
      <alignment horizontal="center" vertical="center"/>
    </xf>
    <xf numFmtId="0" fontId="8" fillId="30" borderId="11" xfId="0" applyFont="1" applyFill="1" applyBorder="1" applyAlignment="1">
      <alignment horizontal="center" vertical="center"/>
    </xf>
    <xf numFmtId="9" fontId="8" fillId="30" borderId="3" xfId="0" applyNumberFormat="1" applyFont="1" applyFill="1" applyBorder="1" applyAlignment="1">
      <alignment horizontal="center" vertical="center"/>
    </xf>
    <xf numFmtId="1" fontId="8" fillId="104" borderId="11" xfId="0" applyNumberFormat="1" applyFont="1" applyFill="1" applyBorder="1" applyAlignment="1">
      <alignment horizontal="center" vertical="center"/>
    </xf>
    <xf numFmtId="1" fontId="8" fillId="30" borderId="11" xfId="5" applyNumberFormat="1" applyFont="1" applyFill="1" applyBorder="1" applyAlignment="1">
      <alignment horizontal="center" vertical="center"/>
    </xf>
    <xf numFmtId="1" fontId="8" fillId="30" borderId="3" xfId="5" applyNumberFormat="1" applyFont="1" applyFill="1" applyBorder="1" applyAlignment="1">
      <alignment horizontal="center" vertical="center"/>
    </xf>
    <xf numFmtId="1" fontId="8" fillId="30" borderId="11" xfId="0" applyNumberFormat="1" applyFont="1" applyFill="1" applyBorder="1" applyAlignment="1">
      <alignment horizontal="center" vertical="center"/>
    </xf>
    <xf numFmtId="1" fontId="8" fillId="30" borderId="3" xfId="0" applyNumberFormat="1" applyFont="1" applyFill="1" applyBorder="1" applyAlignment="1">
      <alignment horizontal="center" vertical="center"/>
    </xf>
    <xf numFmtId="0" fontId="36" fillId="30" borderId="11" xfId="0" applyFont="1" applyFill="1" applyBorder="1" applyAlignment="1">
      <alignment horizontal="center" vertical="center"/>
    </xf>
    <xf numFmtId="164" fontId="8" fillId="29" borderId="15" xfId="2" applyNumberFormat="1" applyFont="1" applyFill="1" applyBorder="1" applyAlignment="1">
      <alignment horizontal="center" vertical="center"/>
    </xf>
    <xf numFmtId="164" fontId="7" fillId="30" borderId="13" xfId="2" applyNumberFormat="1" applyFont="1" applyFill="1" applyBorder="1" applyAlignment="1">
      <alignment horizontal="center" vertical="center"/>
    </xf>
    <xf numFmtId="164" fontId="8" fillId="30" borderId="13" xfId="2" applyNumberFormat="1" applyFont="1" applyFill="1" applyBorder="1" applyAlignment="1">
      <alignment horizontal="center"/>
    </xf>
    <xf numFmtId="164" fontId="7" fillId="30" borderId="13" xfId="2" applyNumberFormat="1" applyFont="1" applyFill="1" applyBorder="1" applyAlignment="1">
      <alignment horizontal="center"/>
    </xf>
    <xf numFmtId="0" fontId="7" fillId="104" borderId="13" xfId="0" applyFont="1" applyFill="1" applyBorder="1" applyAlignment="1">
      <alignment horizontal="left" vertical="center" wrapText="1"/>
    </xf>
    <xf numFmtId="0" fontId="8" fillId="104" borderId="6" xfId="0" applyFont="1" applyFill="1" applyBorder="1" applyAlignment="1">
      <alignment horizontal="center" vertical="center"/>
    </xf>
    <xf numFmtId="167" fontId="8" fillId="104" borderId="13" xfId="5" applyNumberFormat="1" applyFont="1" applyFill="1" applyBorder="1" applyAlignment="1">
      <alignment horizontal="center" vertical="center"/>
    </xf>
    <xf numFmtId="9" fontId="8" fillId="104" borderId="1" xfId="5" applyNumberFormat="1" applyFont="1" applyFill="1" applyBorder="1" applyAlignment="1">
      <alignment horizontal="center" vertical="center"/>
    </xf>
    <xf numFmtId="164" fontId="8" fillId="29" borderId="1" xfId="2" applyNumberFormat="1" applyFont="1" applyFill="1" applyBorder="1" applyAlignment="1">
      <alignment horizontal="center" vertical="center"/>
    </xf>
    <xf numFmtId="0" fontId="8" fillId="104" borderId="13" xfId="0" applyFont="1" applyFill="1" applyBorder="1" applyAlignment="1">
      <alignment horizontal="left" vertical="center" wrapText="1"/>
    </xf>
    <xf numFmtId="0" fontId="8" fillId="104" borderId="13" xfId="0" applyFont="1" applyFill="1" applyBorder="1" applyAlignment="1">
      <alignment horizontal="center" vertical="center"/>
    </xf>
    <xf numFmtId="9" fontId="8" fillId="104" borderId="13" xfId="0" applyNumberFormat="1" applyFont="1" applyFill="1" applyBorder="1" applyAlignment="1">
      <alignment horizontal="center" vertical="center"/>
    </xf>
    <xf numFmtId="9" fontId="8" fillId="104" borderId="1" xfId="0" applyNumberFormat="1" applyFont="1" applyFill="1" applyBorder="1" applyAlignment="1">
      <alignment horizontal="center" vertical="center"/>
    </xf>
    <xf numFmtId="0" fontId="8" fillId="29" borderId="11" xfId="0" applyFont="1" applyFill="1" applyBorder="1" applyAlignment="1">
      <alignment horizontal="left" vertical="center" wrapText="1"/>
    </xf>
    <xf numFmtId="9" fontId="14" fillId="29" borderId="11" xfId="0" applyNumberFormat="1" applyFont="1" applyFill="1" applyBorder="1" applyAlignment="1">
      <alignment horizontal="center" vertical="center" wrapText="1"/>
    </xf>
    <xf numFmtId="0" fontId="7" fillId="104" borderId="13" xfId="0" applyFont="1" applyFill="1" applyBorder="1" applyAlignment="1">
      <alignment horizontal="center" vertical="center"/>
    </xf>
    <xf numFmtId="0" fontId="8" fillId="104" borderId="6" xfId="0" applyFont="1" applyFill="1" applyBorder="1" applyAlignment="1">
      <alignment horizontal="left" vertical="center" wrapText="1"/>
    </xf>
    <xf numFmtId="0" fontId="8" fillId="104" borderId="7" xfId="0" applyFont="1" applyFill="1" applyBorder="1" applyAlignment="1">
      <alignment horizontal="center" vertical="center"/>
    </xf>
    <xf numFmtId="0" fontId="7" fillId="104" borderId="11" xfId="0" applyFont="1" applyFill="1" applyBorder="1" applyAlignment="1">
      <alignment horizontal="left" vertical="center" wrapText="1"/>
    </xf>
    <xf numFmtId="9" fontId="7" fillId="29" borderId="11" xfId="5" applyFont="1" applyFill="1" applyBorder="1" applyAlignment="1">
      <alignment horizontal="center" wrapText="1"/>
    </xf>
    <xf numFmtId="9" fontId="8" fillId="29" borderId="11" xfId="5" applyFont="1" applyFill="1" applyBorder="1" applyAlignment="1">
      <alignment horizontal="center"/>
    </xf>
    <xf numFmtId="3" fontId="14" fillId="29" borderId="11" xfId="0" applyNumberFormat="1" applyFont="1" applyFill="1" applyBorder="1" applyAlignment="1">
      <alignment horizontal="center" vertical="center" wrapText="1"/>
    </xf>
    <xf numFmtId="41" fontId="8" fillId="30" borderId="11" xfId="2" applyFont="1" applyFill="1" applyBorder="1" applyAlignment="1">
      <alignment horizontal="center" vertical="center"/>
    </xf>
    <xf numFmtId="41" fontId="8" fillId="30" borderId="3" xfId="2" applyFont="1" applyFill="1" applyBorder="1" applyAlignment="1">
      <alignment horizontal="center" vertical="center"/>
    </xf>
    <xf numFmtId="0" fontId="8" fillId="104" borderId="11" xfId="0" applyFont="1" applyFill="1" applyBorder="1" applyAlignment="1">
      <alignment vertical="center" wrapText="1"/>
    </xf>
    <xf numFmtId="0" fontId="7" fillId="104" borderId="11" xfId="0" applyFont="1" applyFill="1" applyBorder="1" applyAlignment="1">
      <alignment horizontal="center" vertical="center" wrapText="1"/>
    </xf>
    <xf numFmtId="1" fontId="8" fillId="104" borderId="11" xfId="5" applyNumberFormat="1" applyFont="1" applyFill="1" applyBorder="1" applyAlignment="1">
      <alignment horizontal="center" vertical="center"/>
    </xf>
    <xf numFmtId="0" fontId="8" fillId="104" borderId="11" xfId="0" applyFont="1" applyFill="1" applyBorder="1" applyAlignment="1">
      <alignment horizontal="justify" vertical="justify" wrapText="1"/>
    </xf>
    <xf numFmtId="41" fontId="8" fillId="29" borderId="13" xfId="2" applyFont="1" applyFill="1" applyBorder="1" applyAlignment="1">
      <alignment horizontal="left"/>
    </xf>
    <xf numFmtId="0" fontId="8" fillId="29" borderId="11" xfId="0" applyFont="1" applyFill="1" applyBorder="1" applyAlignment="1">
      <alignment horizontal="center" vertical="center" wrapText="1"/>
    </xf>
    <xf numFmtId="3" fontId="8" fillId="29" borderId="11" xfId="0" applyNumberFormat="1" applyFont="1" applyFill="1" applyBorder="1" applyAlignment="1">
      <alignment horizontal="center" vertical="center" wrapText="1"/>
    </xf>
    <xf numFmtId="1" fontId="8" fillId="29" borderId="11" xfId="0" applyNumberFormat="1" applyFont="1" applyFill="1" applyBorder="1" applyAlignment="1">
      <alignment horizontal="center" vertical="center" wrapText="1"/>
    </xf>
    <xf numFmtId="2" fontId="8" fillId="29" borderId="11" xfId="0" applyNumberFormat="1" applyFont="1" applyFill="1" applyBorder="1" applyAlignment="1">
      <alignment horizontal="center" vertical="center" wrapText="1"/>
    </xf>
    <xf numFmtId="0" fontId="36" fillId="29" borderId="11" xfId="0" applyFont="1" applyFill="1" applyBorder="1" applyAlignment="1">
      <alignment horizontal="center" vertical="center" wrapText="1"/>
    </xf>
    <xf numFmtId="168" fontId="8" fillId="0" borderId="0" xfId="0" applyNumberFormat="1" applyFont="1"/>
    <xf numFmtId="165" fontId="6" fillId="34" borderId="0" xfId="0" applyNumberFormat="1" applyFont="1" applyFill="1" applyBorder="1" applyAlignment="1">
      <alignment horizontal="center"/>
    </xf>
    <xf numFmtId="42" fontId="0" fillId="0" borderId="0" xfId="4" applyFont="1" applyAlignment="1"/>
    <xf numFmtId="9" fontId="7" fillId="7" borderId="30" xfId="0" applyNumberFormat="1" applyFont="1" applyFill="1" applyBorder="1" applyAlignment="1">
      <alignment horizontal="center" vertical="center" wrapText="1"/>
    </xf>
    <xf numFmtId="1" fontId="0" fillId="0" borderId="0" xfId="0" applyNumberFormat="1" applyAlignment="1"/>
    <xf numFmtId="0" fontId="6" fillId="30" borderId="11" xfId="0" applyFont="1" applyFill="1" applyBorder="1" applyAlignment="1">
      <alignment horizontal="center" vertical="center"/>
    </xf>
    <xf numFmtId="0" fontId="6" fillId="41" borderId="3" xfId="0" applyFont="1" applyFill="1" applyBorder="1" applyAlignment="1">
      <alignment horizontal="left" vertical="center"/>
    </xf>
    <xf numFmtId="9" fontId="6" fillId="41" borderId="26" xfId="0" applyNumberFormat="1" applyFont="1" applyFill="1" applyBorder="1" applyAlignment="1">
      <alignment horizontal="center" vertical="center" wrapText="1"/>
    </xf>
    <xf numFmtId="9" fontId="6" fillId="103" borderId="12" xfId="5" applyFont="1" applyFill="1" applyBorder="1" applyAlignment="1">
      <alignment horizontal="center" vertical="center"/>
    </xf>
    <xf numFmtId="9" fontId="6" fillId="103" borderId="6" xfId="5" applyFont="1" applyFill="1" applyBorder="1" applyAlignment="1">
      <alignment horizontal="center" vertical="center"/>
    </xf>
    <xf numFmtId="9" fontId="6" fillId="103" borderId="11" xfId="5" applyFont="1" applyFill="1" applyBorder="1" applyAlignment="1">
      <alignment horizontal="center" vertical="center"/>
    </xf>
    <xf numFmtId="9" fontId="6" fillId="41" borderId="11" xfId="5" applyFont="1" applyFill="1" applyBorder="1" applyAlignment="1">
      <alignment horizontal="center" vertical="center"/>
    </xf>
    <xf numFmtId="9" fontId="6" fillId="5" borderId="88" xfId="0" applyNumberFormat="1" applyFont="1" applyFill="1" applyBorder="1" applyAlignment="1">
      <alignment horizontal="center" vertical="center"/>
    </xf>
    <xf numFmtId="164" fontId="11" fillId="0" borderId="0" xfId="0" applyNumberFormat="1" applyFont="1" applyAlignment="1">
      <alignment horizontal="center" vertical="center"/>
    </xf>
    <xf numFmtId="164" fontId="6" fillId="4" borderId="13" xfId="0" applyNumberFormat="1" applyFont="1" applyFill="1" applyBorder="1" applyAlignment="1">
      <alignment horizontal="center" vertical="center"/>
    </xf>
    <xf numFmtId="164" fontId="6" fillId="10" borderId="13" xfId="0" applyNumberFormat="1" applyFont="1" applyFill="1" applyBorder="1" applyAlignment="1">
      <alignment horizontal="center" vertical="center"/>
    </xf>
    <xf numFmtId="164" fontId="6" fillId="11" borderId="13" xfId="0" applyNumberFormat="1" applyFont="1" applyFill="1" applyBorder="1" applyAlignment="1">
      <alignment horizontal="center" vertical="center"/>
    </xf>
    <xf numFmtId="164" fontId="6" fillId="12" borderId="13" xfId="0" applyNumberFormat="1" applyFont="1" applyFill="1" applyBorder="1" applyAlignment="1">
      <alignment horizontal="center" vertical="center"/>
    </xf>
    <xf numFmtId="164" fontId="6" fillId="13" borderId="13" xfId="0" applyNumberFormat="1" applyFont="1" applyFill="1" applyBorder="1" applyAlignment="1">
      <alignment horizontal="center" vertical="center"/>
    </xf>
    <xf numFmtId="164" fontId="6" fillId="9" borderId="13" xfId="0" applyNumberFormat="1" applyFont="1" applyFill="1" applyBorder="1" applyAlignment="1">
      <alignment horizontal="center" vertical="center"/>
    </xf>
    <xf numFmtId="164" fontId="6" fillId="14" borderId="16" xfId="0" applyNumberFormat="1" applyFont="1" applyFill="1" applyBorder="1" applyAlignment="1">
      <alignment horizontal="center" vertical="center"/>
    </xf>
    <xf numFmtId="164" fontId="6" fillId="15" borderId="13" xfId="0" applyNumberFormat="1" applyFont="1" applyFill="1" applyBorder="1" applyAlignment="1">
      <alignment horizontal="center" vertical="center"/>
    </xf>
    <xf numFmtId="164" fontId="6" fillId="16" borderId="13" xfId="0" applyNumberFormat="1" applyFont="1" applyFill="1" applyBorder="1" applyAlignment="1">
      <alignment horizontal="center" vertical="center"/>
    </xf>
    <xf numFmtId="164" fontId="6" fillId="17" borderId="13" xfId="0" applyNumberFormat="1" applyFont="1" applyFill="1" applyBorder="1" applyAlignment="1">
      <alignment horizontal="center" vertical="center"/>
    </xf>
    <xf numFmtId="164" fontId="6" fillId="18" borderId="13" xfId="0" applyNumberFormat="1" applyFont="1" applyFill="1" applyBorder="1" applyAlignment="1">
      <alignment horizontal="center" vertical="center"/>
    </xf>
    <xf numFmtId="164" fontId="6" fillId="14" borderId="13" xfId="0" applyNumberFormat="1" applyFont="1" applyFill="1" applyBorder="1" applyAlignment="1">
      <alignment horizontal="center" vertical="center"/>
    </xf>
    <xf numFmtId="164" fontId="8" fillId="24" borderId="16" xfId="0" applyNumberFormat="1" applyFont="1" applyFill="1" applyBorder="1" applyAlignment="1">
      <alignment horizontal="center" vertical="center"/>
    </xf>
    <xf numFmtId="164" fontId="8" fillId="24" borderId="13" xfId="0" applyNumberFormat="1" applyFont="1" applyFill="1" applyBorder="1" applyAlignment="1">
      <alignment horizontal="center" vertical="center"/>
    </xf>
    <xf numFmtId="164" fontId="8" fillId="27" borderId="13" xfId="0" applyNumberFormat="1" applyFont="1" applyFill="1" applyBorder="1" applyAlignment="1">
      <alignment horizontal="center" vertical="center"/>
    </xf>
    <xf numFmtId="164" fontId="16" fillId="52" borderId="13" xfId="0" applyNumberFormat="1" applyFont="1" applyFill="1" applyBorder="1" applyAlignment="1">
      <alignment horizontal="center" vertical="center"/>
    </xf>
    <xf numFmtId="164" fontId="7" fillId="0" borderId="16" xfId="1" applyNumberFormat="1" applyFont="1" applyBorder="1" applyAlignment="1">
      <alignment horizontal="center" vertical="center"/>
    </xf>
    <xf numFmtId="164" fontId="7" fillId="0" borderId="13" xfId="1" applyNumberFormat="1" applyFont="1" applyBorder="1" applyAlignment="1">
      <alignment horizontal="center" vertical="center"/>
    </xf>
    <xf numFmtId="164" fontId="7" fillId="0" borderId="13" xfId="4" applyNumberFormat="1" applyFont="1" applyBorder="1" applyAlignment="1">
      <alignment horizontal="center" vertical="center"/>
    </xf>
    <xf numFmtId="164" fontId="7" fillId="0" borderId="13" xfId="0" applyNumberFormat="1" applyFont="1" applyBorder="1" applyAlignment="1">
      <alignment horizontal="center" vertical="center"/>
    </xf>
    <xf numFmtId="164" fontId="16" fillId="53" borderId="13" xfId="0" applyNumberFormat="1" applyFont="1" applyFill="1" applyBorder="1" applyAlignment="1">
      <alignment horizontal="center" vertical="center"/>
    </xf>
    <xf numFmtId="164" fontId="16" fillId="54" borderId="13" xfId="0" applyNumberFormat="1" applyFont="1" applyFill="1" applyBorder="1" applyAlignment="1">
      <alignment horizontal="center" vertical="center"/>
    </xf>
    <xf numFmtId="164" fontId="8" fillId="0" borderId="13" xfId="3" applyNumberFormat="1" applyFont="1" applyBorder="1" applyAlignment="1">
      <alignment horizontal="center" vertical="center"/>
    </xf>
    <xf numFmtId="164" fontId="8" fillId="0" borderId="3" xfId="4" applyNumberFormat="1" applyFont="1" applyBorder="1" applyAlignment="1">
      <alignment horizontal="center" vertical="center"/>
    </xf>
    <xf numFmtId="164" fontId="0" fillId="0" borderId="13" xfId="0" applyNumberFormat="1" applyFont="1" applyBorder="1" applyAlignment="1">
      <alignment horizontal="center" vertical="center" wrapText="1"/>
    </xf>
    <xf numFmtId="164" fontId="8" fillId="0" borderId="13" xfId="4" applyNumberFormat="1" applyFont="1" applyBorder="1" applyAlignment="1">
      <alignment horizontal="center" vertical="center"/>
    </xf>
    <xf numFmtId="164" fontId="8" fillId="9" borderId="13" xfId="0" applyNumberFormat="1" applyFont="1" applyFill="1" applyBorder="1" applyAlignment="1">
      <alignment horizontal="center" vertical="center"/>
    </xf>
    <xf numFmtId="164" fontId="16" fillId="49" borderId="13" xfId="0" applyNumberFormat="1" applyFont="1" applyFill="1" applyBorder="1" applyAlignment="1">
      <alignment horizontal="center" vertical="center"/>
    </xf>
    <xf numFmtId="164" fontId="7" fillId="46" borderId="3" xfId="0" applyNumberFormat="1" applyFont="1" applyFill="1" applyBorder="1" applyAlignment="1">
      <alignment horizontal="center" vertical="center"/>
    </xf>
    <xf numFmtId="164" fontId="7" fillId="46" borderId="3" xfId="3" applyNumberFormat="1" applyFont="1" applyFill="1" applyBorder="1" applyAlignment="1">
      <alignment horizontal="center" vertical="center"/>
    </xf>
    <xf numFmtId="166" fontId="22" fillId="41" borderId="11" xfId="0" applyNumberFormat="1" applyFont="1" applyFill="1" applyBorder="1"/>
    <xf numFmtId="9" fontId="22" fillId="41" borderId="11" xfId="5" applyFont="1" applyFill="1" applyBorder="1"/>
    <xf numFmtId="0" fontId="22" fillId="41" borderId="11" xfId="0" applyFont="1" applyFill="1" applyBorder="1"/>
    <xf numFmtId="41" fontId="22" fillId="41" borderId="11" xfId="2" applyFont="1" applyFill="1" applyBorder="1"/>
    <xf numFmtId="166" fontId="8" fillId="41" borderId="11" xfId="4" applyNumberFormat="1" applyFont="1" applyFill="1" applyBorder="1" applyAlignment="1">
      <alignment horizontal="center" vertical="center" wrapText="1"/>
    </xf>
    <xf numFmtId="41" fontId="8" fillId="41" borderId="11" xfId="2" applyFont="1" applyFill="1" applyBorder="1" applyAlignment="1">
      <alignment horizontal="center" vertical="center" wrapText="1"/>
    </xf>
    <xf numFmtId="41" fontId="8" fillId="41" borderId="11" xfId="0" applyNumberFormat="1" applyFont="1" applyFill="1" applyBorder="1" applyAlignment="1">
      <alignment vertical="center" wrapText="1"/>
    </xf>
    <xf numFmtId="0" fontId="8" fillId="41" borderId="11" xfId="0" applyFont="1" applyFill="1" applyBorder="1" applyAlignment="1">
      <alignment vertical="center" wrapText="1"/>
    </xf>
    <xf numFmtId="166" fontId="8" fillId="41" borderId="11" xfId="2" applyNumberFormat="1" applyFont="1" applyFill="1" applyBorder="1" applyAlignment="1">
      <alignment horizontal="center" vertical="center"/>
    </xf>
    <xf numFmtId="171" fontId="8" fillId="41" borderId="11" xfId="1" applyNumberFormat="1" applyFont="1" applyFill="1" applyBorder="1" applyAlignment="1">
      <alignment vertical="center" wrapText="1"/>
    </xf>
    <xf numFmtId="0" fontId="8" fillId="41" borderId="11" xfId="0" applyFont="1" applyFill="1" applyBorder="1" applyAlignment="1">
      <alignment wrapText="1"/>
    </xf>
    <xf numFmtId="41" fontId="8" fillId="41" borderId="11" xfId="2" applyFont="1" applyFill="1" applyBorder="1"/>
    <xf numFmtId="41" fontId="8" fillId="41" borderId="11" xfId="2" applyFont="1" applyFill="1" applyBorder="1" applyAlignment="1">
      <alignment vertical="center"/>
    </xf>
    <xf numFmtId="164" fontId="8" fillId="59" borderId="11" xfId="2" applyNumberFormat="1" applyFont="1" applyFill="1" applyBorder="1" applyAlignment="1">
      <alignment vertical="center"/>
    </xf>
    <xf numFmtId="166" fontId="37" fillId="59" borderId="30" xfId="0" applyNumberFormat="1" applyFont="1" applyFill="1" applyBorder="1" applyAlignment="1">
      <alignment vertical="center"/>
    </xf>
    <xf numFmtId="9" fontId="22" fillId="59" borderId="11" xfId="5" applyFont="1" applyFill="1" applyBorder="1"/>
    <xf numFmtId="0" fontId="22" fillId="59" borderId="11" xfId="0" applyFont="1" applyFill="1" applyBorder="1"/>
    <xf numFmtId="166" fontId="8" fillId="59" borderId="11" xfId="2" applyNumberFormat="1" applyFont="1" applyFill="1" applyBorder="1" applyAlignment="1">
      <alignment horizontal="center" vertical="center"/>
    </xf>
    <xf numFmtId="41" fontId="8" fillId="59" borderId="11" xfId="2" applyFont="1" applyFill="1" applyBorder="1" applyAlignment="1">
      <alignment horizontal="center" vertical="center" wrapText="1"/>
    </xf>
    <xf numFmtId="166" fontId="6" fillId="59" borderId="11" xfId="0" applyNumberFormat="1" applyFont="1" applyFill="1" applyBorder="1" applyAlignment="1">
      <alignment horizontal="center" vertical="center" wrapText="1"/>
    </xf>
    <xf numFmtId="1" fontId="8" fillId="59" borderId="11" xfId="0" applyNumberFormat="1" applyFont="1" applyFill="1" applyBorder="1" applyAlignment="1">
      <alignment wrapText="1"/>
    </xf>
    <xf numFmtId="166" fontId="37" fillId="59" borderId="11" xfId="0" applyNumberFormat="1" applyFont="1" applyFill="1" applyBorder="1" applyAlignment="1">
      <alignment horizontal="center" vertical="center"/>
    </xf>
    <xf numFmtId="166" fontId="22" fillId="59" borderId="11" xfId="0" applyNumberFormat="1" applyFont="1" applyFill="1" applyBorder="1"/>
    <xf numFmtId="164" fontId="39" fillId="14" borderId="11" xfId="3" applyNumberFormat="1" applyFont="1" applyFill="1" applyBorder="1" applyAlignment="1">
      <alignment horizontal="center" vertical="center"/>
    </xf>
    <xf numFmtId="9" fontId="39" fillId="14" borderId="11" xfId="5" applyFont="1" applyFill="1" applyBorder="1" applyAlignment="1">
      <alignment horizontal="center" vertical="center"/>
    </xf>
    <xf numFmtId="164" fontId="39" fillId="61" borderId="11" xfId="0" applyNumberFormat="1" applyFont="1" applyFill="1" applyBorder="1" applyAlignment="1">
      <alignment horizontal="center"/>
    </xf>
    <xf numFmtId="164" fontId="39" fillId="61" borderId="11" xfId="0" applyNumberFormat="1" applyFont="1" applyFill="1" applyBorder="1" applyAlignment="1">
      <alignment horizontal="center" vertical="center"/>
    </xf>
    <xf numFmtId="0" fontId="0" fillId="15" borderId="0" xfId="0" applyFill="1"/>
    <xf numFmtId="0" fontId="0" fillId="15" borderId="0" xfId="0" applyFill="1" applyAlignment="1"/>
    <xf numFmtId="165" fontId="8" fillId="15" borderId="0" xfId="3" applyNumberFormat="1" applyFont="1" applyFill="1" applyAlignment="1">
      <alignment horizontal="center"/>
    </xf>
    <xf numFmtId="165" fontId="11" fillId="15" borderId="0" xfId="3" applyNumberFormat="1" applyFont="1" applyFill="1" applyBorder="1" applyAlignment="1">
      <alignment horizontal="center" vertical="center"/>
    </xf>
    <xf numFmtId="165" fontId="6" fillId="109" borderId="50" xfId="0" applyNumberFormat="1" applyFont="1" applyFill="1" applyBorder="1" applyAlignment="1">
      <alignment horizontal="center" vertical="center"/>
    </xf>
    <xf numFmtId="165" fontId="16" fillId="110" borderId="13" xfId="0" applyNumberFormat="1" applyFont="1" applyFill="1" applyBorder="1" applyAlignment="1">
      <alignment horizontal="center" vertical="center"/>
    </xf>
    <xf numFmtId="165" fontId="7" fillId="112" borderId="16" xfId="0" applyNumberFormat="1" applyFont="1" applyFill="1" applyBorder="1" applyAlignment="1">
      <alignment horizontal="center" vertical="center"/>
    </xf>
    <xf numFmtId="165" fontId="7" fillId="112" borderId="13" xfId="0" applyNumberFormat="1" applyFont="1" applyFill="1" applyBorder="1" applyAlignment="1">
      <alignment horizontal="center" vertical="center"/>
    </xf>
    <xf numFmtId="172" fontId="18" fillId="15" borderId="11" xfId="0" applyNumberFormat="1" applyFont="1" applyFill="1" applyBorder="1" applyAlignment="1">
      <alignment vertical="center"/>
    </xf>
    <xf numFmtId="164" fontId="8" fillId="15" borderId="1" xfId="2" applyNumberFormat="1" applyFont="1" applyFill="1" applyBorder="1" applyAlignment="1">
      <alignment horizontal="center" vertical="center"/>
    </xf>
    <xf numFmtId="165" fontId="8" fillId="15" borderId="16" xfId="0" applyNumberFormat="1" applyFont="1" applyFill="1" applyBorder="1" applyAlignment="1">
      <alignment horizontal="center" vertical="center"/>
    </xf>
    <xf numFmtId="165" fontId="8" fillId="15" borderId="50" xfId="0" applyNumberFormat="1" applyFont="1" applyFill="1" applyBorder="1" applyAlignment="1">
      <alignment horizontal="center" vertical="center"/>
    </xf>
    <xf numFmtId="165" fontId="16" fillId="121" borderId="13" xfId="0" applyNumberFormat="1" applyFont="1" applyFill="1" applyBorder="1" applyAlignment="1">
      <alignment horizontal="center" vertical="center"/>
    </xf>
    <xf numFmtId="164" fontId="8" fillId="15" borderId="0" xfId="0" applyNumberFormat="1" applyFont="1" applyFill="1"/>
    <xf numFmtId="164" fontId="0" fillId="15" borderId="0" xfId="0" applyNumberFormat="1" applyFill="1"/>
    <xf numFmtId="0" fontId="6" fillId="15" borderId="0" xfId="0" applyFont="1" applyFill="1" applyBorder="1" applyAlignment="1"/>
    <xf numFmtId="172" fontId="18" fillId="15" borderId="11" xfId="0" applyNumberFormat="1" applyFont="1" applyFill="1" applyBorder="1"/>
    <xf numFmtId="164" fontId="8" fillId="15" borderId="15" xfId="2" applyNumberFormat="1" applyFont="1" applyFill="1" applyBorder="1" applyAlignment="1">
      <alignment horizontal="center" vertical="center"/>
    </xf>
    <xf numFmtId="0" fontId="8" fillId="41" borderId="11" xfId="0" applyFont="1" applyFill="1" applyBorder="1" applyAlignment="1">
      <alignment horizontal="left" vertical="center" wrapText="1"/>
    </xf>
    <xf numFmtId="0" fontId="8" fillId="41" borderId="11" xfId="0" applyFont="1" applyFill="1" applyBorder="1" applyAlignment="1">
      <alignment horizontal="center" vertical="center" wrapText="1"/>
    </xf>
    <xf numFmtId="9" fontId="14" fillId="41" borderId="11" xfId="0" applyNumberFormat="1" applyFont="1" applyFill="1" applyBorder="1" applyAlignment="1">
      <alignment horizontal="center" vertical="center" wrapText="1"/>
    </xf>
    <xf numFmtId="9" fontId="8" fillId="41" borderId="11" xfId="5" applyFont="1" applyFill="1" applyBorder="1" applyAlignment="1">
      <alignment horizontal="center" vertical="center" wrapText="1"/>
    </xf>
    <xf numFmtId="166" fontId="6" fillId="41" borderId="11" xfId="4" applyNumberFormat="1" applyFont="1" applyFill="1" applyBorder="1" applyAlignment="1">
      <alignment horizontal="center" vertical="center" wrapText="1"/>
    </xf>
    <xf numFmtId="0" fontId="7" fillId="41" borderId="11" xfId="0" applyFont="1" applyFill="1" applyBorder="1" applyAlignment="1">
      <alignment horizontal="left" vertical="center" wrapText="1"/>
    </xf>
    <xf numFmtId="9" fontId="15" fillId="41" borderId="11" xfId="0" applyNumberFormat="1" applyFont="1" applyFill="1" applyBorder="1" applyAlignment="1">
      <alignment horizontal="center" vertical="center" wrapText="1"/>
    </xf>
    <xf numFmtId="0" fontId="37" fillId="41" borderId="11" xfId="0" applyFont="1" applyFill="1" applyBorder="1" applyAlignment="1">
      <alignment horizontal="left" vertical="center" wrapText="1"/>
    </xf>
    <xf numFmtId="0" fontId="37" fillId="41" borderId="11" xfId="0" applyFont="1" applyFill="1" applyBorder="1" applyAlignment="1">
      <alignment horizontal="center" vertical="center" wrapText="1"/>
    </xf>
    <xf numFmtId="0" fontId="15" fillId="41" borderId="11" xfId="0" applyFont="1" applyFill="1" applyBorder="1" applyAlignment="1">
      <alignment horizontal="center" vertical="center" wrapText="1"/>
    </xf>
    <xf numFmtId="9" fontId="15" fillId="41" borderId="11" xfId="5" applyFont="1" applyFill="1" applyBorder="1" applyAlignment="1">
      <alignment horizontal="center" vertical="center" wrapText="1"/>
    </xf>
    <xf numFmtId="3" fontId="14" fillId="41" borderId="11" xfId="0" applyNumberFormat="1" applyFont="1" applyFill="1" applyBorder="1" applyAlignment="1">
      <alignment horizontal="center" vertical="center" wrapText="1"/>
    </xf>
    <xf numFmtId="0" fontId="14" fillId="41" borderId="11" xfId="0" applyFont="1" applyFill="1" applyBorder="1" applyAlignment="1">
      <alignment horizontal="center" vertical="center" wrapText="1"/>
    </xf>
    <xf numFmtId="1" fontId="14" fillId="41" borderId="11" xfId="0" applyNumberFormat="1" applyFont="1" applyFill="1" applyBorder="1" applyAlignment="1">
      <alignment horizontal="center" vertical="center" wrapText="1"/>
    </xf>
    <xf numFmtId="9" fontId="8" fillId="41" borderId="11" xfId="0" applyNumberFormat="1" applyFont="1" applyFill="1" applyBorder="1" applyAlignment="1">
      <alignment horizontal="center" vertical="center" wrapText="1"/>
    </xf>
    <xf numFmtId="41" fontId="8" fillId="41" borderId="11" xfId="2" applyFont="1" applyFill="1" applyBorder="1" applyAlignment="1">
      <alignment vertical="center" wrapText="1"/>
    </xf>
    <xf numFmtId="1" fontId="8" fillId="41" borderId="11" xfId="0" applyNumberFormat="1" applyFont="1" applyFill="1" applyBorder="1" applyAlignment="1">
      <alignment horizontal="center" vertical="center" wrapText="1"/>
    </xf>
    <xf numFmtId="167" fontId="8" fillId="41" borderId="11" xfId="5" applyNumberFormat="1" applyFont="1" applyFill="1" applyBorder="1" applyAlignment="1">
      <alignment horizontal="center" vertical="center" wrapText="1"/>
    </xf>
    <xf numFmtId="0" fontId="22" fillId="41" borderId="11" xfId="0" applyFont="1" applyFill="1" applyBorder="1" applyAlignment="1">
      <alignment wrapText="1"/>
    </xf>
    <xf numFmtId="0" fontId="22" fillId="41" borderId="11" xfId="0" applyFont="1" applyFill="1" applyBorder="1" applyAlignment="1">
      <alignment horizontal="center"/>
    </xf>
    <xf numFmtId="9" fontId="22" fillId="41" borderId="11" xfId="0" applyNumberFormat="1" applyFont="1" applyFill="1" applyBorder="1" applyAlignment="1">
      <alignment horizontal="center" vertical="center"/>
    </xf>
    <xf numFmtId="0" fontId="22" fillId="41" borderId="11" xfId="0" applyFont="1" applyFill="1" applyBorder="1" applyAlignment="1">
      <alignment vertical="center" wrapText="1"/>
    </xf>
    <xf numFmtId="0" fontId="22" fillId="41" borderId="11" xfId="0" applyFont="1" applyFill="1" applyBorder="1" applyAlignment="1">
      <alignment horizontal="center" vertical="center"/>
    </xf>
    <xf numFmtId="0" fontId="22" fillId="41" borderId="11" xfId="0" applyFont="1" applyFill="1" applyBorder="1" applyAlignment="1">
      <alignment horizontal="center" vertical="center" wrapText="1"/>
    </xf>
    <xf numFmtId="0" fontId="22" fillId="41" borderId="11" xfId="0" applyFont="1" applyFill="1" applyBorder="1" applyAlignment="1">
      <alignment horizontal="center" wrapText="1"/>
    </xf>
    <xf numFmtId="0" fontId="8" fillId="59" borderId="11" xfId="0" applyFont="1" applyFill="1" applyBorder="1" applyAlignment="1">
      <alignment horizontal="center" vertical="center" wrapText="1"/>
    </xf>
    <xf numFmtId="9" fontId="8" fillId="59" borderId="11" xfId="0" applyNumberFormat="1" applyFont="1" applyFill="1" applyBorder="1" applyAlignment="1">
      <alignment horizontal="center" vertical="center" wrapText="1"/>
    </xf>
    <xf numFmtId="9" fontId="7" fillId="59" borderId="11" xfId="0" applyNumberFormat="1" applyFont="1" applyFill="1" applyBorder="1" applyAlignment="1">
      <alignment horizontal="center" vertical="center"/>
    </xf>
    <xf numFmtId="9" fontId="8" fillId="59" borderId="11" xfId="5" applyFont="1" applyFill="1" applyBorder="1" applyAlignment="1">
      <alignment horizontal="center" vertical="center"/>
    </xf>
    <xf numFmtId="9" fontId="6" fillId="59" borderId="11" xfId="0" applyNumberFormat="1" applyFont="1" applyFill="1" applyBorder="1" applyAlignment="1">
      <alignment horizontal="center" vertical="center"/>
    </xf>
    <xf numFmtId="164" fontId="8" fillId="59" borderId="11" xfId="4" applyNumberFormat="1" applyFont="1" applyFill="1" applyBorder="1" applyAlignment="1">
      <alignment vertical="center"/>
    </xf>
    <xf numFmtId="0" fontId="6" fillId="59" borderId="11" xfId="0" applyFont="1" applyFill="1" applyBorder="1" applyAlignment="1">
      <alignment horizontal="left" vertical="center" wrapText="1"/>
    </xf>
    <xf numFmtId="0" fontId="6" fillId="59" borderId="11" xfId="0" applyFont="1" applyFill="1" applyBorder="1" applyAlignment="1">
      <alignment horizontal="center" vertical="center" wrapText="1"/>
    </xf>
    <xf numFmtId="1" fontId="15" fillId="59" borderId="11" xfId="0" applyNumberFormat="1" applyFont="1" applyFill="1" applyBorder="1" applyAlignment="1">
      <alignment horizontal="center" vertical="center" wrapText="1"/>
    </xf>
    <xf numFmtId="9" fontId="15" fillId="59" borderId="11" xfId="0" applyNumberFormat="1" applyFont="1" applyFill="1" applyBorder="1" applyAlignment="1">
      <alignment horizontal="center" vertical="center" wrapText="1"/>
    </xf>
    <xf numFmtId="9" fontId="41" fillId="59" borderId="11" xfId="0" applyNumberFormat="1" applyFont="1" applyFill="1" applyBorder="1" applyAlignment="1">
      <alignment horizontal="center" vertical="center" wrapText="1"/>
    </xf>
    <xf numFmtId="0" fontId="37" fillId="59" borderId="11" xfId="0" applyFont="1" applyFill="1" applyBorder="1" applyAlignment="1">
      <alignment horizontal="left" vertical="center" wrapText="1"/>
    </xf>
    <xf numFmtId="0" fontId="37" fillId="59" borderId="11" xfId="0" applyFont="1" applyFill="1" applyBorder="1" applyAlignment="1">
      <alignment horizontal="center" vertical="center" wrapText="1"/>
    </xf>
    <xf numFmtId="0" fontId="6" fillId="74" borderId="13" xfId="0" applyFont="1" applyFill="1" applyBorder="1" applyAlignment="1">
      <alignment horizontal="center" vertical="center"/>
    </xf>
    <xf numFmtId="164" fontId="8" fillId="0" borderId="0" xfId="3" applyNumberFormat="1" applyFont="1" applyFill="1" applyBorder="1" applyAlignment="1">
      <alignment horizontal="center" vertical="center"/>
    </xf>
    <xf numFmtId="0" fontId="6" fillId="5" borderId="6"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8" fillId="15" borderId="11" xfId="0" applyFont="1" applyFill="1" applyBorder="1" applyAlignment="1">
      <alignment horizontal="justify" vertical="center" wrapText="1"/>
    </xf>
    <xf numFmtId="0" fontId="8" fillId="15" borderId="11" xfId="0" applyFont="1" applyFill="1" applyBorder="1" applyAlignment="1">
      <alignment horizontal="justify" vertical="center"/>
    </xf>
    <xf numFmtId="0" fontId="0" fillId="0" borderId="0" xfId="0" applyFill="1"/>
    <xf numFmtId="0" fontId="0" fillId="0" borderId="0" xfId="0" applyFill="1" applyAlignment="1"/>
    <xf numFmtId="0" fontId="8" fillId="0" borderId="0" xfId="0" applyFont="1" applyFill="1" applyAlignment="1">
      <alignment horizontal="left" vertical="center"/>
    </xf>
    <xf numFmtId="0" fontId="11" fillId="0" borderId="6" xfId="0" applyFont="1" applyFill="1" applyBorder="1" applyAlignment="1">
      <alignment horizontal="center" vertical="center"/>
    </xf>
    <xf numFmtId="0" fontId="8" fillId="0" borderId="0" xfId="0" applyFont="1" applyFill="1"/>
    <xf numFmtId="0" fontId="11" fillId="0" borderId="6" xfId="0" applyFont="1" applyFill="1" applyBorder="1" applyAlignment="1">
      <alignment horizontal="center" vertical="center" wrapText="1"/>
    </xf>
    <xf numFmtId="0" fontId="6" fillId="5" borderId="13" xfId="0" applyFont="1" applyFill="1" applyBorder="1" applyAlignment="1">
      <alignment horizontal="left" wrapText="1"/>
    </xf>
    <xf numFmtId="0" fontId="6" fillId="5" borderId="6" xfId="0" applyFont="1" applyFill="1" applyBorder="1" applyAlignment="1">
      <alignment vertical="center" wrapText="1"/>
    </xf>
    <xf numFmtId="0" fontId="6" fillId="5" borderId="13" xfId="0" applyFont="1" applyFill="1" applyBorder="1" applyAlignment="1">
      <alignment horizontal="left" vertical="top" wrapText="1"/>
    </xf>
    <xf numFmtId="0" fontId="6" fillId="0" borderId="11" xfId="0" applyFont="1" applyFill="1" applyBorder="1" applyAlignment="1">
      <alignment horizontal="center" wrapText="1"/>
    </xf>
    <xf numFmtId="0" fontId="6" fillId="101" borderId="58" xfId="0" applyFont="1" applyFill="1" applyBorder="1" applyAlignment="1">
      <alignment horizontal="left" vertical="center"/>
    </xf>
    <xf numFmtId="0" fontId="6" fillId="56" borderId="37" xfId="0" applyFont="1" applyFill="1" applyBorder="1" applyAlignment="1">
      <alignment horizontal="left" vertical="center"/>
    </xf>
    <xf numFmtId="0" fontId="17" fillId="56" borderId="2" xfId="0" applyFont="1" applyFill="1" applyBorder="1" applyAlignment="1">
      <alignment horizontal="left" vertical="center"/>
    </xf>
    <xf numFmtId="0" fontId="7" fillId="31" borderId="37" xfId="0" applyFont="1" applyFill="1" applyBorder="1" applyAlignment="1">
      <alignment horizontal="left" vertical="center"/>
    </xf>
    <xf numFmtId="0" fontId="7" fillId="31" borderId="3" xfId="0" applyFont="1" applyFill="1" applyBorder="1" applyAlignment="1">
      <alignment horizontal="left" vertical="center"/>
    </xf>
    <xf numFmtId="0" fontId="7" fillId="31" borderId="3" xfId="0" applyFont="1" applyFill="1" applyBorder="1" applyAlignment="1">
      <alignment horizontal="left" vertical="center" wrapText="1"/>
    </xf>
    <xf numFmtId="0" fontId="7" fillId="97" borderId="12" xfId="0" applyFont="1" applyFill="1" applyBorder="1" applyAlignment="1">
      <alignment horizontal="left" vertical="center" wrapText="1"/>
    </xf>
    <xf numFmtId="0" fontId="8" fillId="104" borderId="3" xfId="0" applyFont="1" applyFill="1" applyBorder="1" applyAlignment="1">
      <alignment horizontal="left" vertical="center"/>
    </xf>
    <xf numFmtId="0" fontId="8" fillId="45" borderId="22"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vertical="center" wrapText="1"/>
    </xf>
    <xf numFmtId="0" fontId="6" fillId="0" borderId="11" xfId="0" applyFont="1" applyFill="1" applyBorder="1" applyAlignment="1">
      <alignment wrapText="1"/>
    </xf>
    <xf numFmtId="0" fontId="6" fillId="51" borderId="11" xfId="0" applyFont="1" applyFill="1" applyBorder="1" applyAlignment="1">
      <alignment wrapText="1"/>
    </xf>
    <xf numFmtId="0" fontId="18" fillId="0" borderId="11" xfId="0" applyFont="1" applyFill="1" applyBorder="1" applyAlignment="1">
      <alignment horizontal="center" vertical="center" wrapText="1"/>
    </xf>
    <xf numFmtId="0" fontId="18" fillId="0" borderId="11" xfId="0" applyFont="1" applyFill="1" applyBorder="1" applyAlignment="1">
      <alignment wrapText="1"/>
    </xf>
    <xf numFmtId="9" fontId="22" fillId="67" borderId="30" xfId="0" applyNumberFormat="1" applyFont="1" applyFill="1" applyBorder="1" applyAlignment="1">
      <alignment horizontal="center" vertical="center" wrapText="1"/>
    </xf>
    <xf numFmtId="1" fontId="31" fillId="122" borderId="11" xfId="0" applyNumberFormat="1" applyFont="1" applyFill="1" applyBorder="1" applyAlignment="1">
      <alignment horizontal="left" vertical="center" wrapText="1"/>
    </xf>
    <xf numFmtId="0" fontId="31" fillId="122" borderId="11" xfId="0" applyFont="1" applyFill="1" applyBorder="1" applyAlignment="1">
      <alignment horizontal="left" vertical="center" wrapText="1"/>
    </xf>
    <xf numFmtId="0" fontId="22" fillId="122" borderId="11" xfId="0" applyFont="1" applyFill="1" applyBorder="1" applyAlignment="1">
      <alignment horizontal="left" vertical="center" wrapText="1"/>
    </xf>
    <xf numFmtId="9" fontId="15" fillId="123" borderId="13" xfId="0" applyNumberFormat="1" applyFont="1" applyFill="1" applyBorder="1" applyAlignment="1">
      <alignment horizontal="center" vertical="center" wrapText="1"/>
    </xf>
    <xf numFmtId="9" fontId="7" fillId="96" borderId="13" xfId="0" applyNumberFormat="1" applyFont="1" applyFill="1" applyBorder="1" applyAlignment="1">
      <alignment horizontal="center" vertical="center" wrapText="1"/>
    </xf>
    <xf numFmtId="9" fontId="16" fillId="97" borderId="13" xfId="0" applyNumberFormat="1" applyFont="1" applyFill="1" applyBorder="1" applyAlignment="1">
      <alignment horizontal="center" vertical="center" wrapText="1"/>
    </xf>
    <xf numFmtId="0" fontId="6" fillId="59" borderId="11" xfId="0" applyFont="1" applyFill="1" applyBorder="1" applyAlignment="1">
      <alignment vertical="center" wrapText="1"/>
    </xf>
    <xf numFmtId="0" fontId="8" fillId="78" borderId="51" xfId="0" applyFont="1" applyFill="1" applyBorder="1" applyAlignment="1">
      <alignment wrapText="1"/>
    </xf>
    <xf numFmtId="0" fontId="7" fillId="45" borderId="13" xfId="0" applyFont="1" applyFill="1" applyBorder="1" applyAlignment="1">
      <alignment horizontal="left" vertical="center" wrapText="1"/>
    </xf>
    <xf numFmtId="9" fontId="8" fillId="45" borderId="13" xfId="0" applyNumberFormat="1" applyFont="1" applyFill="1" applyBorder="1" applyAlignment="1">
      <alignment horizontal="left" vertical="center" wrapText="1"/>
    </xf>
    <xf numFmtId="0" fontId="7" fillId="87" borderId="13" xfId="0" applyFont="1" applyFill="1" applyBorder="1" applyAlignment="1">
      <alignment vertical="center" wrapText="1"/>
    </xf>
    <xf numFmtId="0" fontId="7" fillId="87" borderId="13" xfId="0" applyFont="1" applyFill="1" applyBorder="1" applyAlignment="1">
      <alignment horizontal="center" vertical="center" wrapText="1"/>
    </xf>
    <xf numFmtId="0" fontId="14" fillId="0" borderId="0" xfId="0" applyFont="1" applyAlignment="1"/>
    <xf numFmtId="0" fontId="22" fillId="0" borderId="11" xfId="0" applyFont="1" applyBorder="1" applyAlignment="1">
      <alignment horizontal="center" vertical="top" wrapText="1"/>
    </xf>
    <xf numFmtId="0" fontId="22" fillId="124" borderId="11" xfId="0" applyFont="1" applyFill="1" applyBorder="1" applyAlignment="1">
      <alignment horizontal="center" vertical="top" wrapText="1"/>
    </xf>
    <xf numFmtId="0" fontId="6" fillId="9" borderId="11" xfId="0" applyFont="1" applyFill="1" applyBorder="1" applyAlignment="1">
      <alignment horizontal="center" vertical="top" wrapText="1"/>
    </xf>
    <xf numFmtId="0" fontId="6" fillId="124" borderId="11" xfId="0" applyFont="1" applyFill="1" applyBorder="1" applyAlignment="1">
      <alignment horizontal="center" vertical="top" wrapText="1"/>
    </xf>
    <xf numFmtId="0" fontId="8" fillId="124" borderId="11" xfId="0" applyFont="1" applyFill="1" applyBorder="1" applyAlignment="1">
      <alignment horizontal="center" vertical="top" wrapText="1"/>
    </xf>
    <xf numFmtId="0" fontId="8" fillId="0" borderId="11" xfId="0" applyFont="1" applyBorder="1" applyAlignment="1">
      <alignment horizontal="center" vertical="top" wrapText="1"/>
    </xf>
    <xf numFmtId="0" fontId="7" fillId="124" borderId="11" xfId="0" applyFont="1" applyFill="1" applyBorder="1" applyAlignment="1">
      <alignment horizontal="center" vertical="top" wrapText="1"/>
    </xf>
    <xf numFmtId="0" fontId="7" fillId="0" borderId="11" xfId="0" applyFont="1" applyBorder="1" applyAlignment="1">
      <alignment horizontal="center" vertical="top" wrapText="1"/>
    </xf>
    <xf numFmtId="0" fontId="0" fillId="0" borderId="11" xfId="0" applyBorder="1" applyAlignment="1">
      <alignment horizontal="center" vertical="top" wrapText="1"/>
    </xf>
    <xf numFmtId="0" fontId="7" fillId="0" borderId="11" xfId="0" applyFont="1" applyFill="1" applyBorder="1" applyAlignment="1">
      <alignment horizontal="center" vertical="top" wrapText="1"/>
    </xf>
    <xf numFmtId="0" fontId="7" fillId="62" borderId="11" xfId="0" applyFont="1" applyFill="1" applyBorder="1" applyAlignment="1">
      <alignment horizontal="center" vertical="top" wrapText="1"/>
    </xf>
    <xf numFmtId="0" fontId="8" fillId="62" borderId="11" xfId="0" applyFont="1" applyFill="1" applyBorder="1" applyAlignment="1">
      <alignment horizontal="center" vertical="top" wrapText="1"/>
    </xf>
    <xf numFmtId="0" fontId="0" fillId="0" borderId="11" xfId="0" applyFont="1" applyBorder="1" applyAlignment="1">
      <alignment horizontal="center" vertical="top" wrapText="1"/>
    </xf>
    <xf numFmtId="0" fontId="0" fillId="15" borderId="11" xfId="0" applyFill="1" applyBorder="1" applyAlignment="1">
      <alignment horizontal="center" vertical="top" wrapText="1"/>
    </xf>
    <xf numFmtId="0" fontId="6" fillId="7" borderId="11" xfId="0" applyFont="1" applyFill="1" applyBorder="1" applyAlignment="1">
      <alignment horizontal="center" vertical="top" wrapText="1"/>
    </xf>
    <xf numFmtId="0" fontId="7" fillId="35" borderId="11" xfId="0" applyFont="1" applyFill="1" applyBorder="1" applyAlignment="1">
      <alignment horizontal="center" vertical="top" wrapText="1"/>
    </xf>
    <xf numFmtId="0" fontId="7" fillId="15" borderId="11" xfId="0" applyFont="1" applyFill="1" applyBorder="1" applyAlignment="1">
      <alignment horizontal="center" vertical="top" wrapText="1"/>
    </xf>
    <xf numFmtId="0" fontId="7" fillId="87" borderId="1" xfId="0" applyFont="1" applyFill="1" applyBorder="1" applyAlignment="1">
      <alignment vertical="center" wrapText="1"/>
    </xf>
    <xf numFmtId="0" fontId="7" fillId="87" borderId="1" xfId="0" applyFont="1" applyFill="1" applyBorder="1" applyAlignment="1">
      <alignment horizontal="left" vertical="center" wrapText="1"/>
    </xf>
    <xf numFmtId="0" fontId="6" fillId="101" borderId="58" xfId="0" applyFont="1" applyFill="1" applyBorder="1" applyAlignment="1">
      <alignment horizontal="left" vertical="center" wrapText="1"/>
    </xf>
    <xf numFmtId="9" fontId="15" fillId="45" borderId="11" xfId="0" applyNumberFormat="1" applyFont="1" applyFill="1" applyBorder="1" applyAlignment="1">
      <alignment horizontal="center" vertical="center" wrapText="1"/>
    </xf>
    <xf numFmtId="0" fontId="8" fillId="0" borderId="58" xfId="0" applyFont="1" applyBorder="1" applyAlignment="1">
      <alignment horizontal="left" vertical="center" wrapText="1"/>
    </xf>
    <xf numFmtId="0" fontId="8" fillId="104" borderId="12" xfId="0" applyFont="1" applyFill="1" applyBorder="1" applyAlignment="1">
      <alignment horizontal="left" vertical="center" wrapText="1"/>
    </xf>
    <xf numFmtId="0" fontId="16" fillId="87" borderId="3" xfId="0" applyFont="1" applyFill="1" applyBorder="1" applyAlignment="1">
      <alignment vertical="center" wrapText="1"/>
    </xf>
    <xf numFmtId="0" fontId="6" fillId="59" borderId="26" xfId="0" applyFont="1" applyFill="1" applyBorder="1" applyAlignment="1">
      <alignment horizontal="left" vertical="center" wrapText="1"/>
    </xf>
    <xf numFmtId="0" fontId="8" fillId="45" borderId="1" xfId="0" applyFont="1" applyFill="1" applyBorder="1" applyAlignment="1">
      <alignment horizontal="left" vertical="center" wrapText="1"/>
    </xf>
    <xf numFmtId="0" fontId="8" fillId="59" borderId="26" xfId="0" applyFont="1" applyFill="1" applyBorder="1" applyAlignment="1">
      <alignment horizontal="left" vertical="center" wrapText="1"/>
    </xf>
    <xf numFmtId="0" fontId="8" fillId="59" borderId="30" xfId="0" applyFont="1" applyFill="1" applyBorder="1" applyAlignment="1">
      <alignment horizontal="left" vertical="center" wrapText="1"/>
    </xf>
    <xf numFmtId="0" fontId="8" fillId="41" borderId="26" xfId="0" applyFont="1" applyFill="1" applyBorder="1" applyAlignment="1">
      <alignment horizontal="left" vertical="center" wrapText="1"/>
    </xf>
    <xf numFmtId="0" fontId="8" fillId="41" borderId="36" xfId="0" applyFont="1" applyFill="1" applyBorder="1" applyAlignment="1">
      <alignment horizontal="left" vertical="center" wrapText="1"/>
    </xf>
    <xf numFmtId="0" fontId="8" fillId="41" borderId="30" xfId="0" applyFont="1" applyFill="1" applyBorder="1" applyAlignment="1">
      <alignment horizontal="left" vertical="center" wrapText="1"/>
    </xf>
    <xf numFmtId="0" fontId="7" fillId="41" borderId="26" xfId="0" applyFont="1" applyFill="1" applyBorder="1" applyAlignment="1">
      <alignment horizontal="left" vertical="center" wrapText="1"/>
    </xf>
    <xf numFmtId="0" fontId="7" fillId="41" borderId="36" xfId="0" applyFont="1" applyFill="1" applyBorder="1" applyAlignment="1">
      <alignment horizontal="left" vertical="center" wrapText="1"/>
    </xf>
    <xf numFmtId="0" fontId="7" fillId="41" borderId="30" xfId="0" applyFont="1" applyFill="1" applyBorder="1" applyAlignment="1">
      <alignment horizontal="left" vertical="center" wrapText="1"/>
    </xf>
    <xf numFmtId="0" fontId="8" fillId="41" borderId="26" xfId="0" applyFont="1" applyFill="1" applyBorder="1" applyAlignment="1">
      <alignment horizontal="center" vertical="center" wrapText="1"/>
    </xf>
    <xf numFmtId="0" fontId="8" fillId="41" borderId="36" xfId="0" applyFont="1" applyFill="1" applyBorder="1" applyAlignment="1">
      <alignment horizontal="center" vertical="center" wrapText="1"/>
    </xf>
    <xf numFmtId="0" fontId="8" fillId="41" borderId="30" xfId="0" applyFont="1" applyFill="1" applyBorder="1" applyAlignment="1">
      <alignment horizontal="center" vertical="center" wrapText="1"/>
    </xf>
    <xf numFmtId="9" fontId="8" fillId="41" borderId="26" xfId="0" applyNumberFormat="1" applyFont="1" applyFill="1" applyBorder="1" applyAlignment="1">
      <alignment horizontal="center" vertical="center" wrapText="1"/>
    </xf>
    <xf numFmtId="9" fontId="8" fillId="41" borderId="36" xfId="0" applyNumberFormat="1" applyFont="1" applyFill="1" applyBorder="1" applyAlignment="1">
      <alignment horizontal="center" vertical="center" wrapText="1"/>
    </xf>
    <xf numFmtId="9" fontId="8" fillId="41" borderId="30" xfId="0" applyNumberFormat="1" applyFont="1" applyFill="1" applyBorder="1" applyAlignment="1">
      <alignment horizontal="center" vertical="center" wrapText="1"/>
    </xf>
    <xf numFmtId="165" fontId="0" fillId="43" borderId="6" xfId="3" applyNumberFormat="1" applyFont="1" applyFill="1" applyBorder="1" applyAlignment="1">
      <alignment horizontal="center" vertical="center" wrapText="1"/>
    </xf>
    <xf numFmtId="165" fontId="0" fillId="43" borderId="15" xfId="3" applyNumberFormat="1" applyFont="1" applyFill="1" applyBorder="1" applyAlignment="1">
      <alignment horizontal="center" vertical="center" wrapText="1"/>
    </xf>
    <xf numFmtId="165" fontId="0" fillId="43" borderId="16" xfId="3" applyNumberFormat="1" applyFont="1" applyFill="1" applyBorder="1" applyAlignment="1">
      <alignment horizontal="center" vertical="center" wrapText="1"/>
    </xf>
    <xf numFmtId="165" fontId="0" fillId="44" borderId="7" xfId="3" applyNumberFormat="1" applyFont="1" applyFill="1" applyBorder="1" applyAlignment="1">
      <alignment horizontal="center" vertical="center" wrapText="1"/>
    </xf>
    <xf numFmtId="165" fontId="0" fillId="44" borderId="17" xfId="3" applyNumberFormat="1" applyFont="1" applyFill="1" applyBorder="1" applyAlignment="1">
      <alignment horizontal="center" vertical="center" wrapText="1"/>
    </xf>
    <xf numFmtId="165" fontId="0" fillId="44" borderId="23" xfId="3" applyNumberFormat="1" applyFont="1" applyFill="1" applyBorder="1" applyAlignment="1">
      <alignment horizontal="center" vertical="center" wrapText="1"/>
    </xf>
    <xf numFmtId="165" fontId="0" fillId="43" borderId="12" xfId="3" applyNumberFormat="1" applyFont="1" applyFill="1" applyBorder="1" applyAlignment="1">
      <alignment horizontal="center" vertical="center" wrapText="1"/>
    </xf>
    <xf numFmtId="165" fontId="0" fillId="43" borderId="14" xfId="3" applyNumberFormat="1" applyFont="1" applyFill="1" applyBorder="1" applyAlignment="1">
      <alignment horizontal="center" vertical="center" wrapText="1"/>
    </xf>
    <xf numFmtId="165" fontId="0" fillId="43" borderId="22" xfId="3" applyNumberFormat="1" applyFont="1" applyFill="1" applyBorder="1" applyAlignment="1">
      <alignment horizontal="center" vertical="center" wrapText="1"/>
    </xf>
    <xf numFmtId="165" fontId="0" fillId="43" borderId="6" xfId="0" applyNumberFormat="1" applyFont="1" applyFill="1" applyBorder="1" applyAlignment="1">
      <alignment horizontal="center"/>
    </xf>
    <xf numFmtId="165" fontId="0" fillId="43" borderId="15" xfId="0" applyNumberFormat="1" applyFont="1" applyFill="1" applyBorder="1" applyAlignment="1">
      <alignment horizontal="center"/>
    </xf>
    <xf numFmtId="165" fontId="0" fillId="43" borderId="16" xfId="0" applyNumberFormat="1" applyFont="1" applyFill="1" applyBorder="1" applyAlignment="1">
      <alignment horizontal="center"/>
    </xf>
    <xf numFmtId="9" fontId="0" fillId="42" borderId="79" xfId="0" applyNumberFormat="1" applyFont="1" applyFill="1" applyBorder="1" applyAlignment="1">
      <alignment horizontal="center" vertical="center" wrapText="1"/>
    </xf>
    <xf numFmtId="9" fontId="0" fillId="42" borderId="36" xfId="0" applyNumberFormat="1" applyFont="1" applyFill="1" applyBorder="1" applyAlignment="1">
      <alignment horizontal="center" vertical="center" wrapText="1"/>
    </xf>
    <xf numFmtId="9" fontId="0" fillId="42" borderId="30" xfId="0" applyNumberFormat="1" applyFont="1" applyFill="1" applyBorder="1" applyAlignment="1">
      <alignment horizontal="center" vertical="center" wrapText="1"/>
    </xf>
    <xf numFmtId="0" fontId="0" fillId="42" borderId="11" xfId="0" applyFont="1" applyFill="1" applyBorder="1" applyAlignment="1">
      <alignment horizontal="left" vertical="center" wrapText="1"/>
    </xf>
    <xf numFmtId="165" fontId="0" fillId="42" borderId="11" xfId="0" applyNumberFormat="1" applyFont="1" applyFill="1" applyBorder="1" applyAlignment="1">
      <alignment horizontal="center" vertical="center" wrapText="1"/>
    </xf>
    <xf numFmtId="165" fontId="16" fillId="121" borderId="6" xfId="0" applyNumberFormat="1" applyFont="1" applyFill="1" applyBorder="1" applyAlignment="1">
      <alignment horizontal="center" vertical="center"/>
    </xf>
    <xf numFmtId="0" fontId="18" fillId="15" borderId="15" xfId="0" applyFont="1" applyFill="1" applyBorder="1"/>
    <xf numFmtId="165" fontId="16" fillId="87" borderId="6" xfId="0" applyNumberFormat="1" applyFont="1" applyFill="1" applyBorder="1" applyAlignment="1">
      <alignment horizontal="center" vertical="center"/>
    </xf>
    <xf numFmtId="0" fontId="18" fillId="29" borderId="15" xfId="0" applyFont="1" applyFill="1" applyBorder="1"/>
    <xf numFmtId="0" fontId="7" fillId="87" borderId="7" xfId="0" applyFont="1" applyFill="1" applyBorder="1" applyAlignment="1">
      <alignment horizontal="left" vertical="center" wrapText="1"/>
    </xf>
    <xf numFmtId="0" fontId="18" fillId="29" borderId="23" xfId="0" applyFont="1" applyFill="1" applyBorder="1"/>
    <xf numFmtId="0" fontId="6" fillId="0" borderId="20" xfId="0" applyFont="1" applyBorder="1" applyAlignment="1">
      <alignment horizontal="center" vertical="center"/>
    </xf>
    <xf numFmtId="0" fontId="6" fillId="0" borderId="15" xfId="0" applyFont="1" applyBorder="1" applyAlignment="1">
      <alignment horizontal="center" vertical="center"/>
    </xf>
    <xf numFmtId="9" fontId="6" fillId="0" borderId="20" xfId="5" applyFont="1" applyFill="1" applyBorder="1" applyAlignment="1">
      <alignment horizontal="center" vertical="center"/>
    </xf>
    <xf numFmtId="9" fontId="6" fillId="0" borderId="15" xfId="5" applyFont="1" applyFill="1" applyBorder="1" applyAlignment="1">
      <alignment horizontal="center" vertical="center"/>
    </xf>
    <xf numFmtId="0" fontId="8" fillId="0" borderId="7" xfId="0" applyFont="1" applyFill="1" applyBorder="1" applyAlignment="1">
      <alignment horizontal="left" vertical="center" wrapText="1"/>
    </xf>
    <xf numFmtId="0" fontId="6" fillId="0" borderId="17" xfId="0" applyFont="1" applyFill="1" applyBorder="1" applyAlignment="1">
      <alignment wrapText="1"/>
    </xf>
    <xf numFmtId="0" fontId="6" fillId="0" borderId="23" xfId="0" applyFont="1" applyFill="1" applyBorder="1" applyAlignment="1">
      <alignment wrapText="1"/>
    </xf>
    <xf numFmtId="0" fontId="7" fillId="0" borderId="7" xfId="0" applyFont="1" applyFill="1" applyBorder="1" applyAlignment="1">
      <alignment horizontal="left" vertical="center" wrapText="1"/>
    </xf>
    <xf numFmtId="0" fontId="0" fillId="42" borderId="11" xfId="0" applyFont="1" applyFill="1" applyBorder="1" applyAlignment="1">
      <alignment horizontal="center" vertical="center" wrapText="1"/>
    </xf>
    <xf numFmtId="0" fontId="0" fillId="43" borderId="27" xfId="0" applyFont="1" applyFill="1" applyBorder="1" applyAlignment="1">
      <alignment horizontal="center" vertical="center"/>
    </xf>
    <xf numFmtId="0" fontId="0" fillId="43" borderId="31" xfId="0" applyFont="1" applyFill="1" applyBorder="1" applyAlignment="1">
      <alignment horizontal="center" vertical="center"/>
    </xf>
    <xf numFmtId="0" fontId="7" fillId="87" borderId="12" xfId="0" applyFont="1" applyFill="1" applyBorder="1" applyAlignment="1">
      <alignment horizontal="left" vertical="center" wrapText="1"/>
    </xf>
    <xf numFmtId="0" fontId="18" fillId="29" borderId="14" xfId="0" applyFont="1" applyFill="1" applyBorder="1" applyAlignment="1">
      <alignment horizontal="left"/>
    </xf>
    <xf numFmtId="0" fontId="16" fillId="87" borderId="6" xfId="0" applyFont="1" applyFill="1" applyBorder="1" applyAlignment="1">
      <alignment horizontal="left" vertical="center" wrapText="1"/>
    </xf>
    <xf numFmtId="0" fontId="18" fillId="29" borderId="15" xfId="0" applyFont="1" applyFill="1" applyBorder="1" applyAlignment="1">
      <alignment horizontal="left"/>
    </xf>
    <xf numFmtId="0" fontId="16" fillId="87" borderId="6" xfId="0" applyFont="1" applyFill="1" applyBorder="1" applyAlignment="1">
      <alignment horizontal="center" vertical="center" wrapText="1"/>
    </xf>
    <xf numFmtId="9" fontId="16" fillId="87" borderId="6" xfId="0" applyNumberFormat="1" applyFont="1" applyFill="1" applyBorder="1" applyAlignment="1">
      <alignment horizontal="center" vertical="center"/>
    </xf>
    <xf numFmtId="0" fontId="16" fillId="87" borderId="7" xfId="0" applyFont="1" applyFill="1" applyBorder="1" applyAlignment="1">
      <alignment vertical="center" wrapText="1"/>
    </xf>
    <xf numFmtId="0" fontId="18" fillId="29" borderId="17" xfId="0" applyFont="1" applyFill="1" applyBorder="1" applyAlignment="1">
      <alignment wrapText="1"/>
    </xf>
    <xf numFmtId="0" fontId="18" fillId="29" borderId="22" xfId="0" applyFont="1" applyFill="1" applyBorder="1" applyAlignment="1">
      <alignment horizontal="left"/>
    </xf>
    <xf numFmtId="0" fontId="18" fillId="29" borderId="16" xfId="0" applyFont="1" applyFill="1" applyBorder="1" applyAlignment="1">
      <alignment horizontal="left"/>
    </xf>
    <xf numFmtId="0" fontId="7" fillId="87" borderId="6" xfId="0" applyFont="1" applyFill="1" applyBorder="1" applyAlignment="1">
      <alignment horizontal="center" vertical="center" wrapText="1"/>
    </xf>
    <xf numFmtId="0" fontId="18" fillId="29" borderId="16" xfId="0" applyFont="1" applyFill="1" applyBorder="1"/>
    <xf numFmtId="0" fontId="16" fillId="87" borderId="6" xfId="0" applyFont="1" applyFill="1" applyBorder="1" applyAlignment="1">
      <alignment horizontal="center" vertical="center"/>
    </xf>
    <xf numFmtId="172" fontId="17" fillId="87" borderId="6" xfId="0" applyNumberFormat="1" applyFont="1" applyFill="1" applyBorder="1" applyAlignment="1">
      <alignment horizontal="center" vertical="center"/>
    </xf>
    <xf numFmtId="0" fontId="16" fillId="87" borderId="12" xfId="0" applyFont="1" applyFill="1" applyBorder="1" applyAlignment="1">
      <alignment vertical="center" wrapText="1"/>
    </xf>
    <xf numFmtId="0" fontId="18" fillId="29" borderId="14" xfId="0" applyFont="1" applyFill="1" applyBorder="1"/>
    <xf numFmtId="0" fontId="18" fillId="29" borderId="22" xfId="0" applyFont="1" applyFill="1" applyBorder="1"/>
    <xf numFmtId="0" fontId="0" fillId="42" borderId="37" xfId="0" applyFont="1" applyFill="1" applyBorder="1" applyAlignment="1">
      <alignment horizontal="left" vertical="center" wrapText="1"/>
    </xf>
    <xf numFmtId="0" fontId="0" fillId="86" borderId="61" xfId="0" applyFont="1" applyFill="1" applyBorder="1" applyAlignment="1">
      <alignment vertical="center" wrapText="1"/>
    </xf>
    <xf numFmtId="0" fontId="0" fillId="86" borderId="17" xfId="0" applyFont="1" applyFill="1" applyBorder="1" applyAlignment="1">
      <alignment vertical="center" wrapText="1"/>
    </xf>
    <xf numFmtId="0" fontId="0" fillId="42" borderId="46" xfId="0" applyFont="1" applyFill="1" applyBorder="1" applyAlignment="1">
      <alignment horizontal="left" vertical="center" wrapText="1"/>
    </xf>
    <xf numFmtId="0" fontId="0" fillId="42" borderId="14" xfId="0" applyFont="1" applyFill="1" applyBorder="1" applyAlignment="1">
      <alignment horizontal="left" vertical="center" wrapText="1"/>
    </xf>
    <xf numFmtId="0" fontId="20" fillId="44" borderId="22" xfId="0" applyFont="1" applyFill="1" applyBorder="1" applyAlignment="1">
      <alignment horizontal="left"/>
    </xf>
    <xf numFmtId="0" fontId="3" fillId="42" borderId="56" xfId="0" applyFont="1" applyFill="1" applyBorder="1" applyAlignment="1">
      <alignment horizontal="center" vertical="center" wrapText="1"/>
    </xf>
    <xf numFmtId="0" fontId="3" fillId="42" borderId="42" xfId="0" applyFont="1" applyFill="1" applyBorder="1" applyAlignment="1">
      <alignment horizontal="center" vertical="center" wrapText="1"/>
    </xf>
    <xf numFmtId="0" fontId="3" fillId="42" borderId="78" xfId="0" applyFont="1" applyFill="1" applyBorder="1" applyAlignment="1">
      <alignment horizontal="center" vertical="center" wrapText="1"/>
    </xf>
    <xf numFmtId="0" fontId="3" fillId="42" borderId="26" xfId="0" applyFont="1" applyFill="1" applyBorder="1" applyAlignment="1">
      <alignment horizontal="center" vertical="center" wrapText="1"/>
    </xf>
    <xf numFmtId="0" fontId="3" fillId="42" borderId="36" xfId="0" applyFont="1" applyFill="1" applyBorder="1" applyAlignment="1">
      <alignment horizontal="center" vertical="center" wrapText="1"/>
    </xf>
    <xf numFmtId="0" fontId="3" fillId="42" borderId="30" xfId="0" applyFont="1" applyFill="1" applyBorder="1" applyAlignment="1">
      <alignment horizontal="center" vertical="center" wrapText="1"/>
    </xf>
    <xf numFmtId="167" fontId="0" fillId="42" borderId="26" xfId="7" applyNumberFormat="1" applyFont="1" applyFill="1" applyBorder="1" applyAlignment="1">
      <alignment horizontal="center" vertical="center" wrapText="1"/>
    </xf>
    <xf numFmtId="167" fontId="0" fillId="42" borderId="36" xfId="7" applyNumberFormat="1" applyFont="1" applyFill="1" applyBorder="1" applyAlignment="1">
      <alignment horizontal="center" vertical="center" wrapText="1"/>
    </xf>
    <xf numFmtId="9" fontId="0" fillId="42" borderId="77" xfId="0" applyNumberFormat="1" applyFont="1" applyFill="1" applyBorder="1" applyAlignment="1">
      <alignment horizontal="center" vertical="center" wrapText="1"/>
    </xf>
    <xf numFmtId="9" fontId="0" fillId="42" borderId="41" xfId="0" applyNumberFormat="1" applyFont="1" applyFill="1" applyBorder="1" applyAlignment="1">
      <alignment horizontal="center" vertical="center" wrapText="1"/>
    </xf>
    <xf numFmtId="0" fontId="0" fillId="42" borderId="20" xfId="0" applyFont="1" applyFill="1" applyBorder="1" applyAlignment="1">
      <alignment vertical="center" wrapText="1"/>
    </xf>
    <xf numFmtId="0" fontId="0" fillId="42" borderId="15" xfId="0" applyFont="1" applyFill="1" applyBorder="1" applyAlignment="1">
      <alignment vertical="center" wrapText="1"/>
    </xf>
    <xf numFmtId="0" fontId="20" fillId="44" borderId="16" xfId="0" applyFont="1" applyFill="1" applyBorder="1" applyAlignment="1"/>
    <xf numFmtId="165" fontId="0" fillId="42" borderId="20" xfId="0" applyNumberFormat="1" applyFont="1" applyFill="1" applyBorder="1" applyAlignment="1">
      <alignment horizontal="center" vertical="center" wrapText="1"/>
    </xf>
    <xf numFmtId="165" fontId="0" fillId="42" borderId="15" xfId="0" applyNumberFormat="1" applyFont="1" applyFill="1" applyBorder="1" applyAlignment="1">
      <alignment horizontal="center" vertical="center" wrapText="1"/>
    </xf>
    <xf numFmtId="165" fontId="20" fillId="44" borderId="16" xfId="0" applyNumberFormat="1" applyFont="1" applyFill="1" applyBorder="1" applyAlignment="1">
      <alignment horizontal="center"/>
    </xf>
    <xf numFmtId="165" fontId="0" fillId="120" borderId="20" xfId="0" applyNumberFormat="1" applyFont="1" applyFill="1" applyBorder="1" applyAlignment="1">
      <alignment horizontal="center" vertical="center" wrapText="1"/>
    </xf>
    <xf numFmtId="165" fontId="0" fillId="120" borderId="15" xfId="0" applyNumberFormat="1" applyFont="1" applyFill="1" applyBorder="1" applyAlignment="1">
      <alignment horizontal="center" vertical="center" wrapText="1"/>
    </xf>
    <xf numFmtId="165" fontId="20" fillId="15" borderId="16" xfId="0" applyNumberFormat="1" applyFont="1" applyFill="1" applyBorder="1" applyAlignment="1">
      <alignment horizontal="center"/>
    </xf>
    <xf numFmtId="0" fontId="0" fillId="42" borderId="12" xfId="0" applyFont="1" applyFill="1" applyBorder="1" applyAlignment="1">
      <alignment horizontal="left" vertical="center" wrapText="1"/>
    </xf>
    <xf numFmtId="0" fontId="0" fillId="42" borderId="6" xfId="0" applyFont="1" applyFill="1" applyBorder="1" applyAlignment="1">
      <alignment horizontal="left" vertical="center" wrapText="1"/>
    </xf>
    <xf numFmtId="0" fontId="0" fillId="42" borderId="15" xfId="0" applyFont="1" applyFill="1" applyBorder="1" applyAlignment="1">
      <alignment horizontal="left" vertical="center" wrapText="1"/>
    </xf>
    <xf numFmtId="172" fontId="16" fillId="87" borderId="6" xfId="0" applyNumberFormat="1" applyFont="1" applyFill="1" applyBorder="1" applyAlignment="1">
      <alignment horizontal="center" vertical="center"/>
    </xf>
    <xf numFmtId="172" fontId="16" fillId="87" borderId="6" xfId="0" applyNumberFormat="1" applyFont="1" applyFill="1" applyBorder="1" applyAlignment="1">
      <alignment horizontal="center"/>
    </xf>
    <xf numFmtId="0" fontId="20" fillId="42" borderId="11" xfId="0" applyFont="1" applyFill="1" applyBorder="1" applyAlignment="1">
      <alignment horizontal="center" vertical="center" wrapText="1"/>
    </xf>
    <xf numFmtId="0" fontId="7" fillId="87" borderId="15" xfId="0" applyFont="1" applyFill="1" applyBorder="1" applyAlignment="1">
      <alignment horizontal="center" vertical="center" wrapText="1"/>
    </xf>
    <xf numFmtId="3" fontId="16" fillId="87" borderId="15" xfId="0" applyNumberFormat="1" applyFont="1" applyFill="1" applyBorder="1" applyAlignment="1">
      <alignment horizontal="center" vertical="center"/>
    </xf>
    <xf numFmtId="9" fontId="17" fillId="87" borderId="6" xfId="0" applyNumberFormat="1" applyFont="1" applyFill="1" applyBorder="1" applyAlignment="1">
      <alignment horizontal="center" vertic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6" fillId="0" borderId="5" xfId="0" applyFont="1" applyBorder="1" applyAlignment="1"/>
    <xf numFmtId="9" fontId="6" fillId="0" borderId="5" xfId="5" applyFont="1" applyBorder="1" applyAlignment="1"/>
    <xf numFmtId="0" fontId="18" fillId="15" borderId="16" xfId="0" applyFont="1" applyFill="1" applyBorder="1"/>
    <xf numFmtId="0" fontId="7" fillId="87" borderId="6" xfId="0" applyFont="1" applyFill="1" applyBorder="1" applyAlignment="1">
      <alignment horizontal="left" vertical="center" wrapText="1"/>
    </xf>
    <xf numFmtId="0" fontId="18" fillId="29" borderId="15" xfId="0" applyFont="1" applyFill="1" applyBorder="1" applyAlignment="1">
      <alignment horizontal="left" vertical="center" wrapText="1"/>
    </xf>
    <xf numFmtId="0" fontId="18" fillId="29" borderId="16" xfId="0" applyFont="1" applyFill="1" applyBorder="1" applyAlignment="1">
      <alignment horizontal="left" vertical="center" wrapText="1"/>
    </xf>
    <xf numFmtId="0" fontId="16" fillId="87" borderId="12" xfId="0" applyFont="1" applyFill="1" applyBorder="1" applyAlignment="1">
      <alignment horizontal="left" vertical="center" wrapText="1"/>
    </xf>
    <xf numFmtId="0" fontId="18" fillId="29" borderId="14" xfId="0" applyFont="1" applyFill="1" applyBorder="1" applyAlignment="1">
      <alignment horizontal="left" wrapText="1"/>
    </xf>
    <xf numFmtId="0" fontId="18" fillId="29" borderId="22" xfId="0" applyFont="1" applyFill="1" applyBorder="1" applyAlignment="1">
      <alignment horizontal="left" wrapText="1"/>
    </xf>
    <xf numFmtId="0" fontId="18" fillId="29" borderId="17" xfId="0" applyFont="1" applyFill="1" applyBorder="1"/>
    <xf numFmtId="0" fontId="6" fillId="101" borderId="46" xfId="0" applyFont="1" applyFill="1" applyBorder="1" applyAlignment="1">
      <alignment horizontal="left" vertical="center"/>
    </xf>
    <xf numFmtId="0" fontId="6" fillId="101" borderId="14" xfId="0" applyFont="1" applyFill="1" applyBorder="1" applyAlignment="1">
      <alignment horizontal="left" vertical="center"/>
    </xf>
    <xf numFmtId="0" fontId="6" fillId="101" borderId="22" xfId="0" applyFont="1" applyFill="1" applyBorder="1" applyAlignment="1">
      <alignment horizontal="left" vertical="center"/>
    </xf>
    <xf numFmtId="0" fontId="6" fillId="101" borderId="20" xfId="0" applyFont="1" applyFill="1" applyBorder="1" applyAlignment="1">
      <alignment horizontal="center" vertical="center" wrapText="1"/>
    </xf>
    <xf numFmtId="0" fontId="6" fillId="101" borderId="15" xfId="0" applyFont="1" applyFill="1" applyBorder="1" applyAlignment="1">
      <alignment horizontal="center" vertical="center" wrapText="1"/>
    </xf>
    <xf numFmtId="0" fontId="6" fillId="101" borderId="16" xfId="0" applyFont="1" applyFill="1" applyBorder="1" applyAlignment="1">
      <alignment horizontal="center" vertical="center" wrapText="1"/>
    </xf>
    <xf numFmtId="0" fontId="6" fillId="101" borderId="20" xfId="0" applyFont="1" applyFill="1" applyBorder="1" applyAlignment="1">
      <alignment horizontal="center" vertical="center"/>
    </xf>
    <xf numFmtId="0" fontId="6" fillId="101" borderId="15" xfId="0" applyFont="1" applyFill="1" applyBorder="1" applyAlignment="1">
      <alignment horizontal="center" vertical="center"/>
    </xf>
    <xf numFmtId="0" fontId="6" fillId="101" borderId="16" xfId="0" applyFont="1" applyFill="1" applyBorder="1" applyAlignment="1">
      <alignment horizontal="center" vertical="center"/>
    </xf>
    <xf numFmtId="0" fontId="6" fillId="101" borderId="56" xfId="0" applyFont="1" applyFill="1" applyBorder="1" applyAlignment="1">
      <alignment horizontal="center" vertical="center"/>
    </xf>
    <xf numFmtId="0" fontId="6" fillId="101" borderId="42" xfId="0" applyFont="1" applyFill="1" applyBorder="1" applyAlignment="1">
      <alignment horizontal="center" vertical="center"/>
    </xf>
    <xf numFmtId="0" fontId="6" fillId="101" borderId="43" xfId="0" applyFont="1" applyFill="1" applyBorder="1" applyAlignment="1">
      <alignment horizontal="center" vertical="center"/>
    </xf>
    <xf numFmtId="0" fontId="0" fillId="42" borderId="39" xfId="0" applyFont="1" applyFill="1" applyBorder="1" applyAlignment="1">
      <alignment vertical="top" wrapText="1"/>
    </xf>
    <xf numFmtId="0" fontId="0" fillId="42" borderId="14" xfId="0" applyFont="1" applyFill="1" applyBorder="1" applyAlignment="1">
      <alignment vertical="top" wrapText="1"/>
    </xf>
    <xf numFmtId="0" fontId="0" fillId="42" borderId="49" xfId="0" applyFont="1" applyFill="1" applyBorder="1" applyAlignment="1">
      <alignment vertical="top" wrapText="1"/>
    </xf>
    <xf numFmtId="0" fontId="20" fillId="42" borderId="15" xfId="0" applyFont="1" applyFill="1" applyBorder="1" applyAlignment="1">
      <alignment horizontal="left" vertical="center" wrapText="1"/>
    </xf>
    <xf numFmtId="0" fontId="20" fillId="42" borderId="18" xfId="0" applyFont="1" applyFill="1" applyBorder="1" applyAlignment="1">
      <alignment horizontal="left" vertical="center" wrapText="1"/>
    </xf>
    <xf numFmtId="9" fontId="6" fillId="5" borderId="20" xfId="0" applyNumberFormat="1" applyFont="1" applyFill="1" applyBorder="1" applyAlignment="1">
      <alignment horizontal="left" vertical="center" wrapText="1"/>
    </xf>
    <xf numFmtId="0" fontId="6" fillId="7" borderId="16" xfId="0" applyFont="1" applyFill="1" applyBorder="1" applyAlignment="1">
      <alignment wrapText="1"/>
    </xf>
    <xf numFmtId="9" fontId="6" fillId="5" borderId="21" xfId="0" applyNumberFormat="1" applyFont="1" applyFill="1" applyBorder="1" applyAlignment="1">
      <alignment horizontal="center" vertical="center"/>
    </xf>
    <xf numFmtId="0" fontId="6" fillId="7" borderId="16" xfId="0" applyFont="1" applyFill="1" applyBorder="1" applyAlignment="1">
      <alignment horizontal="center"/>
    </xf>
    <xf numFmtId="1" fontId="6" fillId="5" borderId="19" xfId="0" applyNumberFormat="1" applyFont="1" applyFill="1" applyBorder="1" applyAlignment="1">
      <alignment horizontal="center" vertical="center"/>
    </xf>
    <xf numFmtId="1" fontId="6" fillId="7" borderId="23" xfId="0" applyNumberFormat="1" applyFont="1" applyFill="1" applyBorder="1" applyAlignment="1">
      <alignment horizontal="center"/>
    </xf>
    <xf numFmtId="0" fontId="6" fillId="5" borderId="6" xfId="0" applyFont="1" applyFill="1" applyBorder="1" applyAlignment="1">
      <alignment horizontal="left" vertical="center" wrapText="1"/>
    </xf>
    <xf numFmtId="0" fontId="6" fillId="5" borderId="6" xfId="0"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0" fontId="6" fillId="7" borderId="23" xfId="0" applyFont="1" applyFill="1" applyBorder="1" applyAlignment="1">
      <alignment horizontal="center"/>
    </xf>
    <xf numFmtId="0" fontId="11" fillId="0" borderId="0" xfId="0" applyFont="1" applyAlignment="1">
      <alignment horizontal="center" vertical="center"/>
    </xf>
    <xf numFmtId="0" fontId="7" fillId="0" borderId="0" xfId="0" applyFont="1" applyAlignment="1"/>
    <xf numFmtId="0" fontId="15" fillId="0" borderId="0" xfId="0" applyFont="1" applyAlignment="1">
      <alignment horizontal="center" vertical="center"/>
    </xf>
    <xf numFmtId="0" fontId="6" fillId="0" borderId="0" xfId="0" applyFont="1" applyAlignment="1"/>
    <xf numFmtId="0" fontId="11" fillId="2"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65" fontId="11" fillId="2" borderId="1" xfId="0" applyNumberFormat="1" applyFont="1" applyFill="1" applyBorder="1" applyAlignment="1">
      <alignment horizontal="center"/>
    </xf>
    <xf numFmtId="165" fontId="6" fillId="0" borderId="2" xfId="0" applyNumberFormat="1" applyFont="1" applyBorder="1" applyAlignment="1">
      <alignment horizontal="center"/>
    </xf>
    <xf numFmtId="165" fontId="6" fillId="0" borderId="3" xfId="0" applyNumberFormat="1" applyFont="1" applyBorder="1" applyAlignment="1">
      <alignment horizontal="center"/>
    </xf>
    <xf numFmtId="164" fontId="6" fillId="6" borderId="40" xfId="0" applyNumberFormat="1" applyFont="1" applyFill="1" applyBorder="1" applyAlignment="1">
      <alignment horizontal="center" vertical="center"/>
    </xf>
    <xf numFmtId="164" fontId="6" fillId="6" borderId="15" xfId="0" applyNumberFormat="1" applyFont="1" applyFill="1" applyBorder="1" applyAlignment="1">
      <alignment horizontal="center" vertical="center"/>
    </xf>
    <xf numFmtId="164" fontId="6" fillId="6" borderId="33" xfId="0" applyNumberFormat="1" applyFont="1" applyFill="1" applyBorder="1" applyAlignment="1">
      <alignment horizontal="center" vertical="center"/>
    </xf>
    <xf numFmtId="0" fontId="6" fillId="5" borderId="16" xfId="0" applyFont="1" applyFill="1" applyBorder="1" applyAlignment="1">
      <alignment horizontal="center" vertical="center"/>
    </xf>
    <xf numFmtId="0" fontId="22" fillId="67" borderId="11" xfId="0" applyFont="1" applyFill="1" applyBorder="1" applyAlignment="1">
      <alignment horizontal="left" vertical="center" wrapText="1"/>
    </xf>
    <xf numFmtId="0" fontId="24" fillId="69" borderId="11" xfId="0" applyFont="1" applyFill="1" applyBorder="1"/>
    <xf numFmtId="9" fontId="22" fillId="67" borderId="11" xfId="0" applyNumberFormat="1" applyFont="1" applyFill="1" applyBorder="1" applyAlignment="1">
      <alignment horizontal="center" vertical="center" wrapText="1"/>
    </xf>
    <xf numFmtId="0" fontId="24" fillId="69" borderId="11" xfId="0" applyFont="1" applyFill="1" applyBorder="1" applyAlignment="1">
      <alignment horizontal="center"/>
    </xf>
    <xf numFmtId="9" fontId="22" fillId="67" borderId="11" xfId="0" applyNumberFormat="1" applyFont="1" applyFill="1" applyBorder="1" applyAlignment="1">
      <alignment horizontal="left" vertical="center" wrapText="1"/>
    </xf>
    <xf numFmtId="0" fontId="6" fillId="5" borderId="12"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15" xfId="0" applyFont="1" applyFill="1" applyBorder="1" applyAlignment="1">
      <alignment horizontal="center" vertical="center"/>
    </xf>
    <xf numFmtId="9" fontId="6" fillId="5" borderId="11" xfId="0" applyNumberFormat="1" applyFont="1" applyFill="1" applyBorder="1" applyAlignment="1">
      <alignment horizontal="left" vertical="center" wrapText="1"/>
    </xf>
    <xf numFmtId="0" fontId="6" fillId="7" borderId="11" xfId="0" applyFont="1" applyFill="1" applyBorder="1" applyAlignment="1">
      <alignment horizontal="left" wrapText="1"/>
    </xf>
    <xf numFmtId="166" fontId="6" fillId="5" borderId="19" xfId="0" applyNumberFormat="1" applyFont="1" applyFill="1" applyBorder="1" applyAlignment="1">
      <alignment horizontal="center" vertical="center"/>
    </xf>
    <xf numFmtId="0" fontId="6" fillId="5" borderId="17" xfId="0" applyFont="1" applyFill="1" applyBorder="1" applyAlignment="1">
      <alignment horizontal="center" vertical="center"/>
    </xf>
    <xf numFmtId="0" fontId="6" fillId="5" borderId="23" xfId="0" applyFont="1" applyFill="1" applyBorder="1" applyAlignment="1">
      <alignment horizontal="center" vertical="center"/>
    </xf>
    <xf numFmtId="1" fontId="6" fillId="5" borderId="7" xfId="0" applyNumberFormat="1" applyFont="1" applyFill="1" applyBorder="1" applyAlignment="1">
      <alignment horizontal="center" vertical="center"/>
    </xf>
    <xf numFmtId="1" fontId="6" fillId="5" borderId="17" xfId="0" applyNumberFormat="1" applyFont="1" applyFill="1" applyBorder="1" applyAlignment="1">
      <alignment horizontal="center" vertical="center"/>
    </xf>
    <xf numFmtId="1" fontId="6" fillId="5" borderId="23"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9" fontId="6" fillId="6" borderId="12" xfId="0" applyNumberFormat="1" applyFont="1" applyFill="1" applyBorder="1" applyAlignment="1">
      <alignment horizontal="center" vertical="center"/>
    </xf>
    <xf numFmtId="9" fontId="6" fillId="6" borderId="22" xfId="0" applyNumberFormat="1" applyFont="1" applyFill="1" applyBorder="1" applyAlignment="1">
      <alignment horizontal="center" vertical="center"/>
    </xf>
    <xf numFmtId="9" fontId="6" fillId="6" borderId="6" xfId="0" applyNumberFormat="1" applyFont="1" applyFill="1" applyBorder="1" applyAlignment="1">
      <alignment horizontal="center" vertical="center"/>
    </xf>
    <xf numFmtId="9" fontId="6" fillId="6" borderId="16" xfId="0" applyNumberFormat="1" applyFont="1" applyFill="1" applyBorder="1" applyAlignment="1">
      <alignment horizontal="center" vertical="center"/>
    </xf>
    <xf numFmtId="0" fontId="6" fillId="5" borderId="11" xfId="0" applyFont="1" applyFill="1" applyBorder="1" applyAlignment="1">
      <alignment horizontal="left" vertical="center" wrapText="1"/>
    </xf>
    <xf numFmtId="0" fontId="6" fillId="7" borderId="11" xfId="0" applyFont="1" applyFill="1" applyBorder="1" applyAlignment="1">
      <alignment wrapText="1"/>
    </xf>
    <xf numFmtId="164" fontId="6" fillId="6" borderId="6" xfId="0" applyNumberFormat="1" applyFont="1" applyFill="1" applyBorder="1" applyAlignment="1">
      <alignment horizontal="center" vertical="center"/>
    </xf>
    <xf numFmtId="164" fontId="6" fillId="6" borderId="16" xfId="0" applyNumberFormat="1" applyFont="1" applyFill="1" applyBorder="1" applyAlignment="1">
      <alignment horizontal="center" vertical="center"/>
    </xf>
    <xf numFmtId="0" fontId="6" fillId="7" borderId="6" xfId="0" applyFont="1" applyFill="1" applyBorder="1" applyAlignment="1">
      <alignment horizontal="center" vertical="center"/>
    </xf>
    <xf numFmtId="0" fontId="6" fillId="7" borderId="16" xfId="0" applyFont="1" applyFill="1" applyBorder="1" applyAlignment="1">
      <alignment horizontal="center" vertical="center"/>
    </xf>
    <xf numFmtId="164" fontId="6" fillId="7" borderId="6" xfId="0" applyNumberFormat="1" applyFont="1" applyFill="1" applyBorder="1" applyAlignment="1">
      <alignment horizontal="center" vertical="center"/>
    </xf>
    <xf numFmtId="164" fontId="6" fillId="7" borderId="16" xfId="0" applyNumberFormat="1" applyFont="1" applyFill="1" applyBorder="1" applyAlignment="1">
      <alignment horizontal="center" vertical="center"/>
    </xf>
    <xf numFmtId="164" fontId="6" fillId="7" borderId="26" xfId="0" applyNumberFormat="1" applyFont="1" applyFill="1" applyBorder="1" applyAlignment="1">
      <alignment horizontal="center" vertical="center"/>
    </xf>
    <xf numFmtId="164" fontId="6" fillId="7" borderId="30" xfId="0" applyNumberFormat="1" applyFont="1" applyFill="1" applyBorder="1" applyAlignment="1">
      <alignment horizontal="center" vertical="center"/>
    </xf>
    <xf numFmtId="164" fontId="6" fillId="6" borderId="26" xfId="0" applyNumberFormat="1" applyFont="1" applyFill="1" applyBorder="1" applyAlignment="1">
      <alignment horizontal="center" vertical="center"/>
    </xf>
    <xf numFmtId="164" fontId="6" fillId="6" borderId="30" xfId="0" applyNumberFormat="1" applyFont="1" applyFill="1" applyBorder="1" applyAlignment="1">
      <alignment horizontal="center" vertical="center"/>
    </xf>
    <xf numFmtId="164" fontId="6" fillId="6" borderId="35" xfId="0" applyNumberFormat="1" applyFont="1" applyFill="1" applyBorder="1" applyAlignment="1">
      <alignment horizontal="center" vertical="center"/>
    </xf>
    <xf numFmtId="164" fontId="6" fillId="6" borderId="32" xfId="0" applyNumberFormat="1" applyFont="1" applyFill="1" applyBorder="1" applyAlignment="1">
      <alignment horizontal="center" vertical="center"/>
    </xf>
    <xf numFmtId="9" fontId="6" fillId="5" borderId="11" xfId="0" applyNumberFormat="1" applyFont="1" applyFill="1" applyBorder="1" applyAlignment="1">
      <alignment horizontal="center" vertical="center" wrapText="1"/>
    </xf>
    <xf numFmtId="164" fontId="6" fillId="6" borderId="39" xfId="0" applyNumberFormat="1" applyFont="1" applyFill="1" applyBorder="1" applyAlignment="1">
      <alignment horizontal="center" vertical="center"/>
    </xf>
    <xf numFmtId="164" fontId="6" fillId="6" borderId="14" xfId="0" applyNumberFormat="1" applyFont="1" applyFill="1" applyBorder="1" applyAlignment="1">
      <alignment horizontal="center" vertical="center"/>
    </xf>
    <xf numFmtId="164" fontId="6" fillId="6" borderId="44" xfId="0" applyNumberFormat="1" applyFont="1" applyFill="1" applyBorder="1" applyAlignment="1">
      <alignment horizontal="center" vertical="center"/>
    </xf>
    <xf numFmtId="164" fontId="6" fillId="7" borderId="11" xfId="0" applyNumberFormat="1" applyFont="1" applyFill="1" applyBorder="1" applyAlignment="1">
      <alignment horizontal="center" vertical="center"/>
    </xf>
    <xf numFmtId="164" fontId="6" fillId="10" borderId="6" xfId="0" applyNumberFormat="1" applyFont="1" applyFill="1" applyBorder="1" applyAlignment="1">
      <alignment horizontal="center" vertical="center"/>
    </xf>
    <xf numFmtId="164" fontId="6" fillId="10" borderId="15" xfId="0" applyNumberFormat="1" applyFont="1" applyFill="1" applyBorder="1" applyAlignment="1">
      <alignment horizontal="center" vertical="center"/>
    </xf>
    <xf numFmtId="164" fontId="6" fillId="10" borderId="16" xfId="0" applyNumberFormat="1" applyFont="1" applyFill="1" applyBorder="1" applyAlignment="1">
      <alignment horizontal="center" vertical="center"/>
    </xf>
    <xf numFmtId="0" fontId="6" fillId="5" borderId="11" xfId="0" applyFont="1" applyFill="1" applyBorder="1" applyAlignment="1">
      <alignment horizontal="center" vertical="center" wrapText="1"/>
    </xf>
    <xf numFmtId="9" fontId="6" fillId="5" borderId="12" xfId="0" applyNumberFormat="1" applyFont="1" applyFill="1" applyBorder="1" applyAlignment="1">
      <alignment horizontal="center" vertical="center"/>
    </xf>
    <xf numFmtId="9" fontId="6" fillId="7" borderId="24" xfId="0" applyNumberFormat="1" applyFont="1" applyFill="1" applyBorder="1" applyAlignment="1">
      <alignment horizontal="center" vertical="center"/>
    </xf>
    <xf numFmtId="9" fontId="6" fillId="7" borderId="28" xfId="0" applyNumberFormat="1" applyFont="1" applyFill="1" applyBorder="1" applyAlignment="1">
      <alignment horizontal="center" vertical="center"/>
    </xf>
    <xf numFmtId="164" fontId="6" fillId="7" borderId="15" xfId="0" applyNumberFormat="1" applyFont="1" applyFill="1" applyBorder="1" applyAlignment="1">
      <alignment horizontal="center" vertical="center"/>
    </xf>
    <xf numFmtId="0" fontId="6" fillId="7" borderId="1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15" xfId="0" applyFont="1" applyFill="1" applyBorder="1" applyAlignment="1">
      <alignment horizontal="center" vertical="center"/>
    </xf>
    <xf numFmtId="0" fontId="6" fillId="9" borderId="16" xfId="0" applyFont="1" applyFill="1" applyBorder="1" applyAlignment="1">
      <alignment horizontal="center" vertical="center"/>
    </xf>
    <xf numFmtId="164" fontId="6" fillId="7" borderId="12" xfId="0" applyNumberFormat="1" applyFont="1" applyFill="1" applyBorder="1" applyAlignment="1">
      <alignment horizontal="center" vertical="center"/>
    </xf>
    <xf numFmtId="164" fontId="6" fillId="7" borderId="14" xfId="0" applyNumberFormat="1" applyFont="1" applyFill="1" applyBorder="1" applyAlignment="1">
      <alignment horizontal="center" vertical="center"/>
    </xf>
    <xf numFmtId="164" fontId="6" fillId="7" borderId="22" xfId="0" applyNumberFormat="1" applyFont="1" applyFill="1" applyBorder="1" applyAlignment="1">
      <alignment horizontal="center" vertical="center"/>
    </xf>
    <xf numFmtId="166" fontId="6" fillId="8" borderId="19" xfId="0" applyNumberFormat="1" applyFont="1" applyFill="1" applyBorder="1" applyAlignment="1">
      <alignment horizontal="center" vertical="center"/>
    </xf>
    <xf numFmtId="0" fontId="6" fillId="8" borderId="17" xfId="0" applyFont="1" applyFill="1" applyBorder="1" applyAlignment="1">
      <alignment horizontal="center" vertical="center"/>
    </xf>
    <xf numFmtId="0" fontId="6" fillId="8" borderId="23" xfId="0" applyFont="1" applyFill="1" applyBorder="1" applyAlignment="1">
      <alignment horizontal="center" vertical="center"/>
    </xf>
    <xf numFmtId="0" fontId="8" fillId="7" borderId="11" xfId="0" applyFont="1" applyFill="1" applyBorder="1" applyAlignment="1">
      <alignment horizontal="left" vertical="center" wrapText="1"/>
    </xf>
    <xf numFmtId="164" fontId="6" fillId="13" borderId="6" xfId="0" applyNumberFormat="1" applyFont="1" applyFill="1" applyBorder="1" applyAlignment="1">
      <alignment horizontal="center" vertical="center"/>
    </xf>
    <xf numFmtId="164" fontId="6" fillId="13" borderId="16" xfId="0" applyNumberFormat="1" applyFont="1" applyFill="1" applyBorder="1" applyAlignment="1">
      <alignment horizontal="center" vertical="center"/>
    </xf>
    <xf numFmtId="0" fontId="6" fillId="5" borderId="26" xfId="0" applyFont="1" applyFill="1" applyBorder="1" applyAlignment="1">
      <alignment horizontal="left" vertical="center" wrapText="1"/>
    </xf>
    <xf numFmtId="0" fontId="6" fillId="5" borderId="36" xfId="0" applyFont="1" applyFill="1" applyBorder="1" applyAlignment="1">
      <alignment horizontal="left" vertical="center" wrapText="1"/>
    </xf>
    <xf numFmtId="0" fontId="6" fillId="5" borderId="30" xfId="0" applyFont="1" applyFill="1" applyBorder="1" applyAlignment="1">
      <alignment horizontal="left" vertical="center" wrapText="1"/>
    </xf>
    <xf numFmtId="0" fontId="6" fillId="5" borderId="26"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73" xfId="0" applyFont="1" applyFill="1" applyBorder="1" applyAlignment="1">
      <alignment horizontal="center" vertical="center"/>
    </xf>
    <xf numFmtId="0" fontId="6" fillId="5" borderId="72" xfId="0" applyFont="1" applyFill="1" applyBorder="1" applyAlignment="1">
      <alignment horizontal="center" vertical="center"/>
    </xf>
    <xf numFmtId="0" fontId="6" fillId="5" borderId="74" xfId="0" applyFont="1" applyFill="1" applyBorder="1" applyAlignment="1">
      <alignment horizontal="center" vertical="center"/>
    </xf>
    <xf numFmtId="0" fontId="8" fillId="5" borderId="11" xfId="0" applyFont="1" applyFill="1" applyBorder="1" applyAlignment="1">
      <alignment horizontal="left" vertical="center" wrapText="1"/>
    </xf>
    <xf numFmtId="164" fontId="6" fillId="11" borderId="6" xfId="0" applyNumberFormat="1" applyFont="1" applyFill="1" applyBorder="1" applyAlignment="1">
      <alignment horizontal="center" vertical="center"/>
    </xf>
    <xf numFmtId="164" fontId="6" fillId="11" borderId="16" xfId="0" applyNumberFormat="1" applyFont="1" applyFill="1" applyBorder="1" applyAlignment="1">
      <alignment horizontal="center" vertical="center"/>
    </xf>
    <xf numFmtId="164" fontId="6" fillId="7" borderId="27" xfId="0" applyNumberFormat="1" applyFont="1" applyFill="1" applyBorder="1" applyAlignment="1">
      <alignment horizontal="center" vertical="center"/>
    </xf>
    <xf numFmtId="164" fontId="6" fillId="7" borderId="31" xfId="0" applyNumberFormat="1" applyFont="1" applyFill="1" applyBorder="1" applyAlignment="1">
      <alignment horizontal="center" vertical="center"/>
    </xf>
    <xf numFmtId="1" fontId="6" fillId="7" borderId="25" xfId="0" applyNumberFormat="1" applyFont="1" applyFill="1" applyBorder="1" applyAlignment="1">
      <alignment horizontal="center" vertical="center"/>
    </xf>
    <xf numFmtId="1" fontId="6" fillId="7" borderId="29" xfId="0" applyNumberFormat="1" applyFont="1" applyFill="1" applyBorder="1" applyAlignment="1">
      <alignment horizontal="center" vertical="center"/>
    </xf>
    <xf numFmtId="9" fontId="6" fillId="5" borderId="25" xfId="0" applyNumberFormat="1" applyFont="1" applyFill="1" applyBorder="1" applyAlignment="1">
      <alignment horizontal="center" vertical="center"/>
    </xf>
    <xf numFmtId="9" fontId="6" fillId="5" borderId="29" xfId="0" applyNumberFormat="1" applyFont="1" applyFill="1" applyBorder="1" applyAlignment="1">
      <alignment horizontal="center" vertical="center"/>
    </xf>
    <xf numFmtId="0" fontId="6" fillId="5" borderId="7" xfId="0" applyFont="1" applyFill="1" applyBorder="1" applyAlignment="1">
      <alignment horizontal="left" vertical="center" wrapText="1"/>
    </xf>
    <xf numFmtId="0" fontId="6" fillId="7" borderId="17" xfId="0" applyFont="1" applyFill="1" applyBorder="1" applyAlignment="1">
      <alignment wrapText="1"/>
    </xf>
    <xf numFmtId="0" fontId="6" fillId="5" borderId="11" xfId="0" applyFont="1" applyFill="1" applyBorder="1" applyAlignment="1">
      <alignment horizontal="center" vertical="center"/>
    </xf>
    <xf numFmtId="0" fontId="6" fillId="7" borderId="11" xfId="0" applyFont="1" applyFill="1" applyBorder="1" applyAlignment="1">
      <alignment horizontal="center"/>
    </xf>
    <xf numFmtId="0" fontId="6" fillId="7" borderId="14" xfId="0" applyFont="1" applyFill="1" applyBorder="1" applyAlignment="1">
      <alignment horizontal="center"/>
    </xf>
    <xf numFmtId="0" fontId="6" fillId="7" borderId="17" xfId="0" applyFont="1" applyFill="1" applyBorder="1" applyAlignment="1">
      <alignment horizontal="center"/>
    </xf>
    <xf numFmtId="0" fontId="6" fillId="5" borderId="7" xfId="0" applyFont="1" applyFill="1" applyBorder="1" applyAlignment="1">
      <alignment horizontal="center" vertical="center"/>
    </xf>
    <xf numFmtId="1" fontId="6" fillId="6" borderId="6" xfId="0" applyNumberFormat="1" applyFont="1" applyFill="1" applyBorder="1" applyAlignment="1">
      <alignment horizontal="center" vertical="center"/>
    </xf>
    <xf numFmtId="1" fontId="6" fillId="6" borderId="16" xfId="0" applyNumberFormat="1" applyFont="1" applyFill="1" applyBorder="1" applyAlignment="1">
      <alignment horizontal="center" vertical="center"/>
    </xf>
    <xf numFmtId="1" fontId="6" fillId="5" borderId="6" xfId="0" applyNumberFormat="1" applyFont="1" applyFill="1" applyBorder="1" applyAlignment="1">
      <alignment horizontal="center" vertical="center"/>
    </xf>
    <xf numFmtId="1" fontId="6" fillId="5" borderId="16" xfId="0" applyNumberFormat="1" applyFont="1" applyFill="1" applyBorder="1" applyAlignment="1">
      <alignment horizontal="center" vertical="center"/>
    </xf>
    <xf numFmtId="0" fontId="6" fillId="7" borderId="11" xfId="0" applyFont="1" applyFill="1" applyBorder="1" applyAlignment="1">
      <alignment horizontal="center" vertical="center" wrapText="1"/>
    </xf>
    <xf numFmtId="1" fontId="6" fillId="6" borderId="12" xfId="0" applyNumberFormat="1" applyFont="1" applyFill="1" applyBorder="1" applyAlignment="1">
      <alignment horizontal="center" vertical="center"/>
    </xf>
    <xf numFmtId="1" fontId="6" fillId="6" borderId="22"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0" fontId="6" fillId="7" borderId="16" xfId="0" applyFont="1" applyFill="1" applyBorder="1" applyAlignment="1">
      <alignment horizontal="left" wrapText="1"/>
    </xf>
    <xf numFmtId="164" fontId="6" fillId="20" borderId="6" xfId="0" applyNumberFormat="1" applyFont="1" applyFill="1" applyBorder="1" applyAlignment="1">
      <alignment horizontal="center" vertical="center"/>
    </xf>
    <xf numFmtId="164" fontId="6" fillId="20" borderId="16" xfId="0" applyNumberFormat="1" applyFont="1" applyFill="1" applyBorder="1" applyAlignment="1">
      <alignment horizontal="center" vertical="center"/>
    </xf>
    <xf numFmtId="0" fontId="6" fillId="5" borderId="15" xfId="0" applyFont="1" applyFill="1" applyBorder="1" applyAlignment="1">
      <alignment horizontal="left" vertical="center" wrapText="1"/>
    </xf>
    <xf numFmtId="0" fontId="6" fillId="7" borderId="15" xfId="0" applyFont="1" applyFill="1" applyBorder="1" applyAlignment="1">
      <alignment horizontal="left" wrapText="1"/>
    </xf>
    <xf numFmtId="0" fontId="6" fillId="7" borderId="15" xfId="0" applyFont="1" applyFill="1" applyBorder="1" applyAlignment="1">
      <alignment horizontal="center"/>
    </xf>
    <xf numFmtId="9" fontId="6" fillId="5" borderId="17" xfId="0" applyNumberFormat="1" applyFont="1" applyFill="1" applyBorder="1" applyAlignment="1">
      <alignment horizontal="center" vertical="center"/>
    </xf>
    <xf numFmtId="164" fontId="6" fillId="5" borderId="6" xfId="0" applyNumberFormat="1" applyFont="1" applyFill="1" applyBorder="1" applyAlignment="1">
      <alignment horizontal="center" vertical="center"/>
    </xf>
    <xf numFmtId="164" fontId="6" fillId="5" borderId="16" xfId="0" applyNumberFormat="1" applyFont="1" applyFill="1" applyBorder="1" applyAlignment="1">
      <alignment horizontal="center" vertical="center"/>
    </xf>
    <xf numFmtId="164" fontId="6" fillId="5" borderId="40" xfId="0" applyNumberFormat="1" applyFont="1" applyFill="1" applyBorder="1" applyAlignment="1">
      <alignment horizontal="center" vertical="center"/>
    </xf>
    <xf numFmtId="164" fontId="6" fillId="5" borderId="33" xfId="0" applyNumberFormat="1" applyFont="1" applyFill="1" applyBorder="1" applyAlignment="1">
      <alignment horizontal="center" vertical="center"/>
    </xf>
    <xf numFmtId="164" fontId="6" fillId="18" borderId="6" xfId="0" applyNumberFormat="1" applyFont="1" applyFill="1" applyBorder="1" applyAlignment="1">
      <alignment horizontal="center" vertical="center"/>
    </xf>
    <xf numFmtId="164" fontId="6" fillId="18" borderId="16" xfId="0" applyNumberFormat="1" applyFont="1" applyFill="1" applyBorder="1" applyAlignment="1">
      <alignment horizontal="center" vertical="center"/>
    </xf>
    <xf numFmtId="9" fontId="6" fillId="5" borderId="22" xfId="0" applyNumberFormat="1" applyFont="1" applyFill="1" applyBorder="1" applyAlignment="1">
      <alignment horizontal="center" vertical="center"/>
    </xf>
    <xf numFmtId="166" fontId="6" fillId="107" borderId="19" xfId="0" applyNumberFormat="1" applyFont="1" applyFill="1" applyBorder="1" applyAlignment="1">
      <alignment horizontal="center" vertical="center"/>
    </xf>
    <xf numFmtId="0" fontId="6" fillId="107" borderId="17" xfId="0" applyFont="1" applyFill="1" applyBorder="1" applyAlignment="1">
      <alignment horizontal="center" vertical="center"/>
    </xf>
    <xf numFmtId="0" fontId="6" fillId="107" borderId="23" xfId="0" applyFont="1" applyFill="1" applyBorder="1" applyAlignment="1">
      <alignment horizontal="center" vertical="center"/>
    </xf>
    <xf numFmtId="166" fontId="6" fillId="8" borderId="6" xfId="0" applyNumberFormat="1" applyFont="1" applyFill="1" applyBorder="1" applyAlignment="1">
      <alignment horizontal="center" vertical="center"/>
    </xf>
    <xf numFmtId="0" fontId="6" fillId="21" borderId="15" xfId="0" applyFont="1" applyFill="1" applyBorder="1" applyAlignment="1"/>
    <xf numFmtId="0" fontId="6" fillId="21" borderId="16" xfId="0" applyFont="1" applyFill="1" applyBorder="1" applyAlignment="1"/>
    <xf numFmtId="0" fontId="6" fillId="15" borderId="15" xfId="0" applyFont="1" applyFill="1" applyBorder="1" applyAlignment="1"/>
    <xf numFmtId="0" fontId="6" fillId="7" borderId="15" xfId="0" applyFont="1" applyFill="1" applyBorder="1" applyAlignment="1"/>
    <xf numFmtId="0" fontId="6" fillId="7" borderId="11" xfId="0" applyFont="1" applyFill="1" applyBorder="1" applyAlignment="1"/>
    <xf numFmtId="0" fontId="6" fillId="21" borderId="14" xfId="0" applyFont="1" applyFill="1" applyBorder="1" applyAlignment="1"/>
    <xf numFmtId="166" fontId="6" fillId="5" borderId="6" xfId="0" applyNumberFormat="1" applyFont="1" applyFill="1" applyBorder="1" applyAlignment="1">
      <alignment horizontal="center" vertical="center"/>
    </xf>
    <xf numFmtId="166" fontId="6" fillId="107" borderId="6" xfId="0" applyNumberFormat="1" applyFont="1" applyFill="1" applyBorder="1" applyAlignment="1">
      <alignment horizontal="center" vertical="center"/>
    </xf>
    <xf numFmtId="0" fontId="6" fillId="15" borderId="16" xfId="0" applyFont="1" applyFill="1" applyBorder="1" applyAlignment="1"/>
    <xf numFmtId="0" fontId="6" fillId="7" borderId="16" xfId="0" applyFont="1" applyFill="1" applyBorder="1" applyAlignment="1"/>
    <xf numFmtId="0" fontId="6" fillId="5" borderId="12" xfId="0" applyFont="1" applyFill="1" applyBorder="1" applyAlignment="1">
      <alignment horizontal="left" vertical="center" wrapText="1"/>
    </xf>
    <xf numFmtId="0" fontId="6" fillId="7" borderId="14" xfId="0" applyFont="1" applyFill="1" applyBorder="1" applyAlignment="1">
      <alignment horizontal="left" wrapText="1"/>
    </xf>
    <xf numFmtId="0" fontId="6" fillId="7" borderId="22" xfId="0" applyFont="1" applyFill="1" applyBorder="1" applyAlignment="1">
      <alignment horizontal="left" wrapText="1"/>
    </xf>
    <xf numFmtId="0" fontId="6" fillId="7" borderId="15" xfId="0" applyFont="1" applyFill="1" applyBorder="1" applyAlignment="1">
      <alignment wrapText="1"/>
    </xf>
    <xf numFmtId="0" fontId="6" fillId="5" borderId="6" xfId="0" applyFont="1" applyFill="1" applyBorder="1" applyAlignment="1">
      <alignment horizontal="left" vertical="center"/>
    </xf>
    <xf numFmtId="0" fontId="6" fillId="7" borderId="15" xfId="0" applyFont="1" applyFill="1" applyBorder="1" applyAlignment="1">
      <alignment horizontal="left"/>
    </xf>
    <xf numFmtId="0" fontId="6" fillId="7" borderId="16" xfId="0" applyFont="1" applyFill="1" applyBorder="1" applyAlignment="1">
      <alignment horizontal="left"/>
    </xf>
    <xf numFmtId="0" fontId="6" fillId="5" borderId="1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16" xfId="0" applyFont="1" applyFill="1" applyBorder="1" applyAlignment="1">
      <alignment horizontal="left" vertical="center" wrapText="1"/>
    </xf>
    <xf numFmtId="9" fontId="6" fillId="5" borderId="38" xfId="0" applyNumberFormat="1" applyFont="1" applyFill="1" applyBorder="1" applyAlignment="1">
      <alignment horizontal="center" vertical="center"/>
    </xf>
    <xf numFmtId="9" fontId="6" fillId="5" borderId="43" xfId="0" applyNumberFormat="1" applyFont="1" applyFill="1" applyBorder="1" applyAlignment="1">
      <alignment horizontal="center" vertical="center"/>
    </xf>
    <xf numFmtId="166" fontId="6" fillId="5" borderId="26" xfId="0" applyNumberFormat="1" applyFont="1" applyFill="1" applyBorder="1" applyAlignment="1">
      <alignment horizontal="center" vertical="center"/>
    </xf>
    <xf numFmtId="166" fontId="6" fillId="5" borderId="36" xfId="0" applyNumberFormat="1" applyFont="1" applyFill="1" applyBorder="1" applyAlignment="1">
      <alignment horizontal="center" vertical="center"/>
    </xf>
    <xf numFmtId="166" fontId="6" fillId="5" borderId="30" xfId="0" applyNumberFormat="1" applyFont="1" applyFill="1" applyBorder="1" applyAlignment="1">
      <alignment horizontal="center" vertical="center"/>
    </xf>
    <xf numFmtId="165" fontId="8" fillId="22" borderId="6" xfId="0" applyNumberFormat="1" applyFont="1" applyFill="1" applyBorder="1" applyAlignment="1">
      <alignment horizontal="center" vertical="center"/>
    </xf>
    <xf numFmtId="165" fontId="6" fillId="24" borderId="16" xfId="0" applyNumberFormat="1" applyFont="1" applyFill="1" applyBorder="1" applyAlignment="1">
      <alignment horizontal="center"/>
    </xf>
    <xf numFmtId="0" fontId="6" fillId="22" borderId="12" xfId="0" applyFont="1" applyFill="1" applyBorder="1" applyAlignment="1">
      <alignment horizontal="left" vertical="center"/>
    </xf>
    <xf numFmtId="0" fontId="6" fillId="24" borderId="49" xfId="0" applyFont="1" applyFill="1" applyBorder="1" applyAlignment="1"/>
    <xf numFmtId="0" fontId="8" fillId="22" borderId="11" xfId="0" applyFont="1" applyFill="1" applyBorder="1" applyAlignment="1">
      <alignment horizontal="left" vertical="center" wrapText="1"/>
    </xf>
    <xf numFmtId="0" fontId="8" fillId="24" borderId="11" xfId="0" applyFont="1" applyFill="1" applyBorder="1" applyAlignment="1">
      <alignment wrapText="1"/>
    </xf>
    <xf numFmtId="165" fontId="6" fillId="22" borderId="6" xfId="0" applyNumberFormat="1" applyFont="1" applyFill="1" applyBorder="1" applyAlignment="1">
      <alignment horizontal="center" vertical="center"/>
    </xf>
    <xf numFmtId="165" fontId="6" fillId="24" borderId="18" xfId="0" applyNumberFormat="1" applyFont="1" applyFill="1" applyBorder="1" applyAlignment="1">
      <alignment horizontal="center"/>
    </xf>
    <xf numFmtId="165" fontId="6" fillId="108" borderId="6" xfId="0" applyNumberFormat="1" applyFont="1" applyFill="1" applyBorder="1" applyAlignment="1">
      <alignment horizontal="center" vertical="center"/>
    </xf>
    <xf numFmtId="165" fontId="6" fillId="15" borderId="18" xfId="0" applyNumberFormat="1" applyFont="1" applyFill="1" applyBorder="1" applyAlignment="1">
      <alignment horizontal="center"/>
    </xf>
    <xf numFmtId="9" fontId="8" fillId="22" borderId="7" xfId="5" applyFont="1" applyFill="1" applyBorder="1" applyAlignment="1">
      <alignment horizontal="center" vertical="center"/>
    </xf>
    <xf numFmtId="9" fontId="8" fillId="22" borderId="17" xfId="5" applyFont="1" applyFill="1" applyBorder="1" applyAlignment="1">
      <alignment horizontal="center" vertical="center"/>
    </xf>
    <xf numFmtId="9" fontId="8" fillId="22" borderId="4" xfId="5" applyFont="1" applyFill="1" applyBorder="1" applyAlignment="1">
      <alignment horizontal="center" vertical="center"/>
    </xf>
    <xf numFmtId="165" fontId="8" fillId="108" borderId="6" xfId="0" applyNumberFormat="1" applyFont="1" applyFill="1" applyBorder="1" applyAlignment="1">
      <alignment horizontal="center" vertical="center"/>
    </xf>
    <xf numFmtId="165" fontId="6" fillId="15" borderId="16" xfId="0" applyNumberFormat="1" applyFont="1" applyFill="1" applyBorder="1" applyAlignment="1">
      <alignment horizontal="center"/>
    </xf>
    <xf numFmtId="165" fontId="8" fillId="22" borderId="15" xfId="0" applyNumberFormat="1" applyFont="1" applyFill="1" applyBorder="1" applyAlignment="1">
      <alignment horizontal="center" vertical="center"/>
    </xf>
    <xf numFmtId="165" fontId="6" fillId="24" borderId="15" xfId="0" applyNumberFormat="1" applyFont="1" applyFill="1" applyBorder="1" applyAlignment="1">
      <alignment horizontal="center"/>
    </xf>
    <xf numFmtId="165" fontId="8" fillId="108" borderId="15" xfId="0" applyNumberFormat="1" applyFont="1" applyFill="1" applyBorder="1" applyAlignment="1">
      <alignment horizontal="center" vertical="center"/>
    </xf>
    <xf numFmtId="165" fontId="6" fillId="15" borderId="15" xfId="0" applyNumberFormat="1" applyFont="1" applyFill="1" applyBorder="1" applyAlignment="1">
      <alignment horizontal="center"/>
    </xf>
    <xf numFmtId="0" fontId="8" fillId="22" borderId="46" xfId="0" applyFont="1" applyFill="1" applyBorder="1" applyAlignment="1">
      <alignment horizontal="left" vertical="center"/>
    </xf>
    <xf numFmtId="0" fontId="8" fillId="22" borderId="14" xfId="0" applyFont="1" applyFill="1" applyBorder="1" applyAlignment="1">
      <alignment horizontal="left" vertical="center"/>
    </xf>
    <xf numFmtId="0" fontId="6" fillId="24" borderId="14" xfId="0" applyFont="1" applyFill="1" applyBorder="1" applyAlignment="1"/>
    <xf numFmtId="0" fontId="6" fillId="24" borderId="22" xfId="0" applyFont="1" applyFill="1" applyBorder="1" applyAlignment="1"/>
    <xf numFmtId="0" fontId="7" fillId="22" borderId="20" xfId="0" applyFont="1" applyFill="1" applyBorder="1" applyAlignment="1">
      <alignment horizontal="left" vertical="center" wrapText="1"/>
    </xf>
    <xf numFmtId="0" fontId="7" fillId="22" borderId="15" xfId="0" applyFont="1" applyFill="1" applyBorder="1" applyAlignment="1">
      <alignment horizontal="left" vertical="center" wrapText="1"/>
    </xf>
    <xf numFmtId="0" fontId="6" fillId="24" borderId="15" xfId="0" applyFont="1" applyFill="1" applyBorder="1" applyAlignment="1">
      <alignment wrapText="1"/>
    </xf>
    <xf numFmtId="0" fontId="6" fillId="24" borderId="16" xfId="0" applyFont="1" applyFill="1" applyBorder="1" applyAlignment="1">
      <alignment wrapText="1"/>
    </xf>
    <xf numFmtId="0" fontId="7" fillId="22" borderId="20" xfId="0" applyFont="1" applyFill="1" applyBorder="1" applyAlignment="1">
      <alignment horizontal="center" vertical="center" wrapText="1"/>
    </xf>
    <xf numFmtId="0" fontId="7" fillId="22" borderId="15" xfId="0" applyFont="1" applyFill="1" applyBorder="1" applyAlignment="1">
      <alignment horizontal="center" vertical="center" wrapText="1"/>
    </xf>
    <xf numFmtId="0" fontId="6" fillId="24" borderId="15" xfId="0" applyFont="1" applyFill="1" applyBorder="1" applyAlignment="1">
      <alignment horizontal="center" wrapText="1"/>
    </xf>
    <xf numFmtId="0" fontId="6" fillId="24" borderId="16" xfId="0" applyFont="1" applyFill="1" applyBorder="1" applyAlignment="1">
      <alignment horizontal="center" wrapText="1"/>
    </xf>
    <xf numFmtId="1" fontId="8" fillId="22" borderId="52" xfId="5" applyNumberFormat="1" applyFont="1" applyFill="1" applyBorder="1" applyAlignment="1">
      <alignment horizontal="center" vertical="center"/>
    </xf>
    <xf numFmtId="1" fontId="8" fillId="22" borderId="17" xfId="5" applyNumberFormat="1" applyFont="1" applyFill="1" applyBorder="1" applyAlignment="1">
      <alignment horizontal="center" vertical="center"/>
    </xf>
    <xf numFmtId="1" fontId="6" fillId="24" borderId="17" xfId="5" applyNumberFormat="1" applyFont="1" applyFill="1" applyBorder="1" applyAlignment="1">
      <alignment horizontal="center"/>
    </xf>
    <xf numFmtId="1" fontId="6" fillId="24" borderId="23" xfId="5" applyNumberFormat="1" applyFont="1" applyFill="1" applyBorder="1" applyAlignment="1">
      <alignment horizontal="center"/>
    </xf>
    <xf numFmtId="0" fontId="8" fillId="22" borderId="12" xfId="0" applyFont="1" applyFill="1" applyBorder="1" applyAlignment="1">
      <alignment horizontal="left" vertical="center"/>
    </xf>
    <xf numFmtId="0" fontId="7" fillId="22" borderId="6" xfId="0" applyFont="1" applyFill="1" applyBorder="1" applyAlignment="1">
      <alignment horizontal="left" vertical="center" wrapText="1"/>
    </xf>
    <xf numFmtId="0" fontId="7" fillId="22" borderId="18" xfId="0" applyFont="1" applyFill="1" applyBorder="1" applyAlignment="1">
      <alignment horizontal="left" vertical="center" wrapText="1"/>
    </xf>
    <xf numFmtId="0" fontId="7" fillId="22" borderId="6" xfId="0" applyFont="1" applyFill="1" applyBorder="1" applyAlignment="1">
      <alignment horizontal="center" vertical="center" wrapText="1"/>
    </xf>
    <xf numFmtId="0" fontId="7" fillId="22" borderId="18" xfId="0" applyFont="1" applyFill="1" applyBorder="1" applyAlignment="1">
      <alignment horizontal="center" vertical="center" wrapText="1"/>
    </xf>
    <xf numFmtId="0" fontId="8" fillId="22" borderId="26" xfId="0" applyFont="1" applyFill="1" applyBorder="1" applyAlignment="1">
      <alignment horizontal="left" vertical="center" wrapText="1"/>
    </xf>
    <xf numFmtId="0" fontId="8" fillId="22" borderId="30" xfId="0" applyFont="1" applyFill="1" applyBorder="1" applyAlignment="1">
      <alignment horizontal="left" vertical="center" wrapText="1"/>
    </xf>
    <xf numFmtId="165" fontId="8" fillId="26" borderId="6" xfId="0" applyNumberFormat="1" applyFont="1" applyFill="1" applyBorder="1" applyAlignment="1">
      <alignment horizontal="center" vertical="center"/>
    </xf>
    <xf numFmtId="165" fontId="6" fillId="27" borderId="15" xfId="0" applyNumberFormat="1" applyFont="1" applyFill="1" applyBorder="1" applyAlignment="1">
      <alignment horizontal="center"/>
    </xf>
    <xf numFmtId="165" fontId="6" fillId="27" borderId="16" xfId="0" applyNumberFormat="1" applyFont="1" applyFill="1" applyBorder="1" applyAlignment="1">
      <alignment horizontal="center"/>
    </xf>
    <xf numFmtId="0" fontId="8" fillId="63" borderId="54" xfId="0" applyFont="1" applyFill="1" applyBorder="1" applyAlignment="1">
      <alignment vertical="center" wrapText="1"/>
    </xf>
    <xf numFmtId="0" fontId="6" fillId="11" borderId="0" xfId="0" applyFont="1" applyFill="1" applyBorder="1" applyAlignment="1">
      <alignment wrapText="1"/>
    </xf>
    <xf numFmtId="0" fontId="6" fillId="11" borderId="5" xfId="0" applyFont="1" applyFill="1" applyBorder="1" applyAlignment="1">
      <alignment wrapText="1"/>
    </xf>
    <xf numFmtId="165" fontId="6" fillId="101" borderId="6" xfId="0" applyNumberFormat="1" applyFont="1" applyFill="1" applyBorder="1" applyAlignment="1">
      <alignment horizontal="center" vertical="center"/>
    </xf>
    <xf numFmtId="165" fontId="6" fillId="41" borderId="15" xfId="0" applyNumberFormat="1" applyFont="1" applyFill="1" applyBorder="1" applyAlignment="1">
      <alignment horizontal="center"/>
    </xf>
    <xf numFmtId="165" fontId="6" fillId="41" borderId="16" xfId="0" applyNumberFormat="1" applyFont="1" applyFill="1" applyBorder="1" applyAlignment="1">
      <alignment horizontal="center"/>
    </xf>
    <xf numFmtId="0" fontId="6" fillId="101" borderId="12" xfId="0" applyFont="1" applyFill="1" applyBorder="1" applyAlignment="1">
      <alignment horizontal="left" vertical="center"/>
    </xf>
    <xf numFmtId="0" fontId="6" fillId="41" borderId="14" xfId="0" applyFont="1" applyFill="1" applyBorder="1" applyAlignment="1"/>
    <xf numFmtId="0" fontId="6" fillId="41" borderId="22" xfId="0" applyFont="1" applyFill="1" applyBorder="1" applyAlignment="1"/>
    <xf numFmtId="0" fontId="6" fillId="101" borderId="11" xfId="0" applyFont="1" applyFill="1" applyBorder="1" applyAlignment="1">
      <alignment horizontal="left" vertical="center" wrapText="1"/>
    </xf>
    <xf numFmtId="0" fontId="6" fillId="41" borderId="11" xfId="0" applyFont="1" applyFill="1" applyBorder="1" applyAlignment="1">
      <alignment wrapText="1"/>
    </xf>
    <xf numFmtId="165" fontId="6" fillId="109" borderId="6" xfId="0" applyNumberFormat="1" applyFont="1" applyFill="1" applyBorder="1" applyAlignment="1">
      <alignment horizontal="center" vertical="center"/>
    </xf>
    <xf numFmtId="165" fontId="8" fillId="26" borderId="20" xfId="0" applyNumberFormat="1" applyFont="1" applyFill="1" applyBorder="1" applyAlignment="1">
      <alignment horizontal="center" vertical="center"/>
    </xf>
    <xf numFmtId="0" fontId="6" fillId="101" borderId="6" xfId="0" applyFont="1" applyFill="1" applyBorder="1" applyAlignment="1">
      <alignment horizontal="left" vertical="center" wrapText="1"/>
    </xf>
    <xf numFmtId="0" fontId="6" fillId="101" borderId="15" xfId="0" applyFont="1" applyFill="1" applyBorder="1" applyAlignment="1">
      <alignment horizontal="left" vertical="center" wrapText="1"/>
    </xf>
    <xf numFmtId="0" fontId="6" fillId="101" borderId="16" xfId="0" applyFont="1" applyFill="1" applyBorder="1" applyAlignment="1">
      <alignment horizontal="left" vertical="center" wrapText="1"/>
    </xf>
    <xf numFmtId="0" fontId="6" fillId="101" borderId="6" xfId="0" applyFont="1" applyFill="1" applyBorder="1" applyAlignment="1">
      <alignment horizontal="center" vertical="center"/>
    </xf>
    <xf numFmtId="9" fontId="6" fillId="101" borderId="7" xfId="5" applyFont="1" applyFill="1" applyBorder="1" applyAlignment="1">
      <alignment horizontal="center" vertical="center"/>
    </xf>
    <xf numFmtId="9" fontId="6" fillId="101" borderId="17" xfId="5" applyFont="1" applyFill="1" applyBorder="1" applyAlignment="1">
      <alignment horizontal="center" vertical="center"/>
    </xf>
    <xf numFmtId="9" fontId="6" fillId="101" borderId="23" xfId="5" applyFont="1" applyFill="1" applyBorder="1" applyAlignment="1">
      <alignment horizontal="center" vertical="center"/>
    </xf>
    <xf numFmtId="0" fontId="6" fillId="101" borderId="26" xfId="0" applyFont="1" applyFill="1" applyBorder="1" applyAlignment="1">
      <alignment horizontal="left" vertical="center"/>
    </xf>
    <xf numFmtId="0" fontId="6" fillId="101" borderId="36" xfId="0" applyFont="1" applyFill="1" applyBorder="1" applyAlignment="1">
      <alignment horizontal="left" vertical="center"/>
    </xf>
    <xf numFmtId="0" fontId="6" fillId="101" borderId="30" xfId="0" applyFont="1" applyFill="1" applyBorder="1" applyAlignment="1">
      <alignment horizontal="left" vertical="center"/>
    </xf>
    <xf numFmtId="165" fontId="6" fillId="109" borderId="20" xfId="0" applyNumberFormat="1" applyFont="1" applyFill="1" applyBorder="1" applyAlignment="1">
      <alignment horizontal="center" vertical="center"/>
    </xf>
    <xf numFmtId="165" fontId="6" fillId="109" borderId="15" xfId="0" applyNumberFormat="1" applyFont="1" applyFill="1" applyBorder="1" applyAlignment="1">
      <alignment horizontal="center" vertical="center"/>
    </xf>
    <xf numFmtId="165" fontId="6" fillId="109" borderId="16" xfId="0" applyNumberFormat="1" applyFont="1" applyFill="1" applyBorder="1" applyAlignment="1">
      <alignment horizontal="center" vertical="center"/>
    </xf>
    <xf numFmtId="165" fontId="6" fillId="101" borderId="20" xfId="0" applyNumberFormat="1" applyFont="1" applyFill="1" applyBorder="1" applyAlignment="1">
      <alignment horizontal="center" vertical="center"/>
    </xf>
    <xf numFmtId="165" fontId="6" fillId="101" borderId="15" xfId="0" applyNumberFormat="1" applyFont="1" applyFill="1" applyBorder="1" applyAlignment="1">
      <alignment horizontal="center" vertical="center"/>
    </xf>
    <xf numFmtId="165" fontId="6" fillId="101" borderId="16" xfId="0" applyNumberFormat="1" applyFont="1" applyFill="1" applyBorder="1" applyAlignment="1">
      <alignment horizontal="center" vertical="center"/>
    </xf>
    <xf numFmtId="165" fontId="8" fillId="57" borderId="6" xfId="0" applyNumberFormat="1" applyFont="1" applyFill="1" applyBorder="1" applyAlignment="1">
      <alignment horizontal="center" vertical="center"/>
    </xf>
    <xf numFmtId="165" fontId="6" fillId="35" borderId="15" xfId="0" applyNumberFormat="1" applyFont="1" applyFill="1" applyBorder="1" applyAlignment="1">
      <alignment horizontal="center"/>
    </xf>
    <xf numFmtId="0" fontId="8" fillId="57" borderId="12" xfId="0" applyFont="1" applyFill="1" applyBorder="1" applyAlignment="1">
      <alignment horizontal="left" vertical="center" wrapText="1"/>
    </xf>
    <xf numFmtId="0" fontId="6" fillId="35" borderId="14" xfId="0" applyFont="1" applyFill="1" applyBorder="1" applyAlignment="1">
      <alignment wrapText="1"/>
    </xf>
    <xf numFmtId="0" fontId="6" fillId="35" borderId="22" xfId="0" applyFont="1" applyFill="1" applyBorder="1" applyAlignment="1">
      <alignment wrapText="1"/>
    </xf>
    <xf numFmtId="0" fontId="8" fillId="58" borderId="53" xfId="0" applyFont="1" applyFill="1" applyBorder="1" applyAlignment="1">
      <alignment horizontal="left" vertical="center" wrapText="1"/>
    </xf>
    <xf numFmtId="0" fontId="8" fillId="58" borderId="17" xfId="0" applyFont="1" applyFill="1" applyBorder="1" applyAlignment="1">
      <alignment horizontal="left" vertical="center" wrapText="1"/>
    </xf>
    <xf numFmtId="0" fontId="8" fillId="58" borderId="23" xfId="0" applyFont="1" applyFill="1" applyBorder="1" applyAlignment="1">
      <alignment horizontal="left" vertical="center" wrapText="1"/>
    </xf>
    <xf numFmtId="0" fontId="7" fillId="58" borderId="11" xfId="0" applyFont="1" applyFill="1" applyBorder="1" applyAlignment="1">
      <alignment horizontal="left" vertical="center" wrapText="1"/>
    </xf>
    <xf numFmtId="0" fontId="8" fillId="58" borderId="11" xfId="0" applyFont="1" applyFill="1" applyBorder="1" applyAlignment="1">
      <alignment horizontal="left" vertical="center" wrapText="1"/>
    </xf>
    <xf numFmtId="0" fontId="8" fillId="58" borderId="11" xfId="0" applyFont="1" applyFill="1" applyBorder="1" applyAlignment="1">
      <alignment horizontal="center" vertical="center"/>
    </xf>
    <xf numFmtId="9" fontId="8" fillId="58" borderId="34" xfId="0" applyNumberFormat="1" applyFont="1" applyFill="1" applyBorder="1" applyAlignment="1">
      <alignment horizontal="center" vertical="center"/>
    </xf>
    <xf numFmtId="0" fontId="8" fillId="58" borderId="34" xfId="0" applyFont="1" applyFill="1" applyBorder="1" applyAlignment="1">
      <alignment horizontal="center" vertical="center"/>
    </xf>
    <xf numFmtId="0" fontId="8" fillId="57" borderId="11" xfId="0" applyFont="1" applyFill="1" applyBorder="1" applyAlignment="1">
      <alignment horizontal="left" vertical="center" wrapText="1"/>
    </xf>
    <xf numFmtId="0" fontId="8" fillId="35" borderId="11" xfId="0" applyFont="1" applyFill="1" applyBorder="1" applyAlignment="1">
      <alignment wrapText="1"/>
    </xf>
    <xf numFmtId="0" fontId="8" fillId="35" borderId="26" xfId="0" applyFont="1" applyFill="1" applyBorder="1" applyAlignment="1">
      <alignment wrapText="1"/>
    </xf>
    <xf numFmtId="165" fontId="7" fillId="31" borderId="6" xfId="0" applyNumberFormat="1" applyFont="1" applyFill="1" applyBorder="1" applyAlignment="1">
      <alignment horizontal="center" vertical="center"/>
    </xf>
    <xf numFmtId="165" fontId="7" fillId="31" borderId="15" xfId="0" applyNumberFormat="1" applyFont="1" applyFill="1" applyBorder="1" applyAlignment="1">
      <alignment horizontal="center" vertical="center"/>
    </xf>
    <xf numFmtId="165" fontId="6" fillId="16" borderId="15" xfId="0" applyNumberFormat="1" applyFont="1" applyFill="1" applyBorder="1" applyAlignment="1">
      <alignment horizontal="center"/>
    </xf>
    <xf numFmtId="165" fontId="6" fillId="16" borderId="16" xfId="0" applyNumberFormat="1" applyFont="1" applyFill="1" applyBorder="1" applyAlignment="1">
      <alignment horizontal="center"/>
    </xf>
    <xf numFmtId="0" fontId="6" fillId="31" borderId="12" xfId="0" applyFont="1" applyFill="1" applyBorder="1" applyAlignment="1">
      <alignment horizontal="left" vertical="center"/>
    </xf>
    <xf numFmtId="0" fontId="6" fillId="16" borderId="14" xfId="0" applyFont="1" applyFill="1" applyBorder="1" applyAlignment="1">
      <alignment horizontal="left"/>
    </xf>
    <xf numFmtId="165" fontId="6" fillId="35" borderId="16" xfId="0" applyNumberFormat="1" applyFont="1" applyFill="1" applyBorder="1" applyAlignment="1">
      <alignment horizontal="center"/>
    </xf>
    <xf numFmtId="165" fontId="8" fillId="111" borderId="6" xfId="0" applyNumberFormat="1" applyFont="1" applyFill="1" applyBorder="1" applyAlignment="1">
      <alignment horizontal="center" vertical="center"/>
    </xf>
    <xf numFmtId="165" fontId="6" fillId="105" borderId="26" xfId="0" applyNumberFormat="1" applyFont="1" applyFill="1" applyBorder="1" applyAlignment="1">
      <alignment horizontal="center" vertical="center"/>
    </xf>
    <xf numFmtId="165" fontId="6" fillId="105" borderId="36" xfId="0" applyNumberFormat="1" applyFont="1" applyFill="1" applyBorder="1" applyAlignment="1">
      <alignment horizontal="center" vertical="center"/>
    </xf>
    <xf numFmtId="165" fontId="6" fillId="105" borderId="30" xfId="0" applyNumberFormat="1" applyFont="1" applyFill="1" applyBorder="1" applyAlignment="1">
      <alignment horizontal="center" vertical="center"/>
    </xf>
    <xf numFmtId="0" fontId="8" fillId="57" borderId="88" xfId="0" applyFont="1" applyFill="1" applyBorder="1" applyAlignment="1">
      <alignment horizontal="left" vertical="center"/>
    </xf>
    <xf numFmtId="0" fontId="6" fillId="35" borderId="81" xfId="0" applyFont="1" applyFill="1" applyBorder="1" applyAlignment="1"/>
    <xf numFmtId="165" fontId="6" fillId="98" borderId="26" xfId="0" applyNumberFormat="1" applyFont="1" applyFill="1" applyBorder="1" applyAlignment="1">
      <alignment horizontal="center" vertical="center"/>
    </xf>
    <xf numFmtId="165" fontId="6" fillId="98" borderId="36" xfId="0" applyNumberFormat="1" applyFont="1" applyFill="1" applyBorder="1" applyAlignment="1">
      <alignment horizontal="center" vertical="center"/>
    </xf>
    <xf numFmtId="165" fontId="6" fillId="98" borderId="30" xfId="0" applyNumberFormat="1" applyFont="1" applyFill="1" applyBorder="1" applyAlignment="1">
      <alignment horizontal="center" vertical="center"/>
    </xf>
    <xf numFmtId="0" fontId="8" fillId="98" borderId="13" xfId="0" applyFont="1" applyFill="1" applyBorder="1" applyAlignment="1">
      <alignment horizontal="left" vertical="center" wrapText="1"/>
    </xf>
    <xf numFmtId="0" fontId="6" fillId="41" borderId="13" xfId="0" applyFont="1" applyFill="1" applyBorder="1" applyAlignment="1">
      <alignment vertical="center" wrapText="1"/>
    </xf>
    <xf numFmtId="0" fontId="8" fillId="98" borderId="13" xfId="0" applyFont="1" applyFill="1" applyBorder="1" applyAlignment="1">
      <alignment horizontal="center" vertical="center" wrapText="1"/>
    </xf>
    <xf numFmtId="0" fontId="6" fillId="41" borderId="13" xfId="0" applyFont="1" applyFill="1" applyBorder="1" applyAlignment="1">
      <alignment horizontal="center" vertical="center" wrapText="1"/>
    </xf>
    <xf numFmtId="0" fontId="8" fillId="98" borderId="13" xfId="0" applyFont="1" applyFill="1" applyBorder="1" applyAlignment="1">
      <alignment horizontal="center" vertical="center"/>
    </xf>
    <xf numFmtId="0" fontId="6" fillId="41" borderId="13" xfId="0" applyFont="1" applyFill="1" applyBorder="1" applyAlignment="1">
      <alignment horizontal="center" vertical="center"/>
    </xf>
    <xf numFmtId="165" fontId="6" fillId="31" borderId="6" xfId="0" applyNumberFormat="1" applyFont="1" applyFill="1" applyBorder="1" applyAlignment="1">
      <alignment horizontal="center" vertical="center"/>
    </xf>
    <xf numFmtId="0" fontId="6" fillId="31" borderId="6" xfId="0" applyFont="1" applyFill="1" applyBorder="1" applyAlignment="1">
      <alignment horizontal="left" vertical="center" wrapText="1"/>
    </xf>
    <xf numFmtId="0" fontId="6" fillId="16" borderId="15" xfId="0" applyFont="1" applyFill="1" applyBorder="1" applyAlignment="1">
      <alignment wrapText="1"/>
    </xf>
    <xf numFmtId="0" fontId="7" fillId="31" borderId="6" xfId="0" applyFont="1" applyFill="1" applyBorder="1" applyAlignment="1">
      <alignment horizontal="center" vertical="center"/>
    </xf>
    <xf numFmtId="0" fontId="7" fillId="31" borderId="15" xfId="0" applyFont="1" applyFill="1" applyBorder="1" applyAlignment="1">
      <alignment horizontal="center" vertical="center"/>
    </xf>
    <xf numFmtId="0" fontId="6" fillId="31" borderId="6" xfId="0" applyFont="1" applyFill="1" applyBorder="1" applyAlignment="1">
      <alignment horizontal="center" vertical="center"/>
    </xf>
    <xf numFmtId="0" fontId="6" fillId="31" borderId="18" xfId="0" applyFont="1" applyFill="1" applyBorder="1" applyAlignment="1">
      <alignment horizontal="center" vertical="center"/>
    </xf>
    <xf numFmtId="9" fontId="6" fillId="31" borderId="7" xfId="5" applyFont="1" applyFill="1" applyBorder="1" applyAlignment="1">
      <alignment horizontal="center" vertical="center"/>
    </xf>
    <xf numFmtId="9" fontId="6" fillId="31" borderId="4" xfId="5" applyFont="1" applyFill="1" applyBorder="1" applyAlignment="1">
      <alignment horizontal="center" vertical="center"/>
    </xf>
    <xf numFmtId="165" fontId="7" fillId="31" borderId="11" xfId="0" applyNumberFormat="1" applyFont="1" applyFill="1" applyBorder="1" applyAlignment="1">
      <alignment horizontal="center" vertical="center"/>
    </xf>
    <xf numFmtId="165" fontId="7" fillId="112" borderId="11" xfId="0" applyNumberFormat="1" applyFont="1" applyFill="1" applyBorder="1" applyAlignment="1">
      <alignment horizontal="center" vertical="center"/>
    </xf>
    <xf numFmtId="0" fontId="7" fillId="70" borderId="54" xfId="0" applyFont="1" applyFill="1" applyBorder="1" applyAlignment="1">
      <alignment vertical="center" wrapText="1"/>
    </xf>
    <xf numFmtId="0" fontId="6" fillId="11" borderId="0" xfId="0" applyFont="1" applyFill="1" applyAlignment="1">
      <alignment wrapText="1"/>
    </xf>
    <xf numFmtId="0" fontId="7" fillId="31" borderId="37" xfId="0" applyFont="1" applyFill="1" applyBorder="1" applyAlignment="1">
      <alignment horizontal="left" vertical="center" wrapText="1"/>
    </xf>
    <xf numFmtId="0" fontId="7" fillId="31" borderId="11" xfId="0" applyFont="1" applyFill="1" applyBorder="1" applyAlignment="1">
      <alignment horizontal="center" vertical="center" wrapText="1"/>
    </xf>
    <xf numFmtId="0" fontId="7" fillId="31" borderId="11" xfId="0" applyFont="1" applyFill="1" applyBorder="1" applyAlignment="1">
      <alignment horizontal="center" vertical="center"/>
    </xf>
    <xf numFmtId="0" fontId="7" fillId="31" borderId="34" xfId="0" applyFont="1" applyFill="1" applyBorder="1" applyAlignment="1">
      <alignment horizontal="center" vertical="center"/>
    </xf>
    <xf numFmtId="0" fontId="7" fillId="31" borderId="14" xfId="0" applyFont="1" applyFill="1" applyBorder="1" applyAlignment="1">
      <alignment horizontal="left" vertical="center"/>
    </xf>
    <xf numFmtId="0" fontId="7" fillId="31" borderId="22" xfId="0" applyFont="1" applyFill="1" applyBorder="1" applyAlignment="1">
      <alignment horizontal="left" vertical="center"/>
    </xf>
    <xf numFmtId="0" fontId="7" fillId="31" borderId="40" xfId="0" applyFont="1" applyFill="1" applyBorder="1" applyAlignment="1">
      <alignment horizontal="left" vertical="center" wrapText="1"/>
    </xf>
    <xf numFmtId="0" fontId="7" fillId="31" borderId="15" xfId="0" applyFont="1" applyFill="1" applyBorder="1" applyAlignment="1">
      <alignment horizontal="left" vertical="center" wrapText="1"/>
    </xf>
    <xf numFmtId="0" fontId="7" fillId="31" borderId="16" xfId="0" applyFont="1" applyFill="1" applyBorder="1" applyAlignment="1">
      <alignment horizontal="left" vertical="center" wrapText="1"/>
    </xf>
    <xf numFmtId="0" fontId="7" fillId="31" borderId="40" xfId="0" applyFont="1" applyFill="1" applyBorder="1" applyAlignment="1">
      <alignment horizontal="center" vertical="center"/>
    </xf>
    <xf numFmtId="0" fontId="7" fillId="31" borderId="16" xfId="0" applyFont="1" applyFill="1" applyBorder="1" applyAlignment="1">
      <alignment horizontal="center" vertical="center"/>
    </xf>
    <xf numFmtId="165" fontId="8" fillId="93" borderId="6" xfId="0" applyNumberFormat="1" applyFont="1" applyFill="1" applyBorder="1" applyAlignment="1">
      <alignment horizontal="center" vertical="center"/>
    </xf>
    <xf numFmtId="165" fontId="6" fillId="13" borderId="15" xfId="0" applyNumberFormat="1" applyFont="1" applyFill="1" applyBorder="1" applyAlignment="1">
      <alignment horizontal="center"/>
    </xf>
    <xf numFmtId="165" fontId="6" fillId="13" borderId="18" xfId="0" applyNumberFormat="1" applyFont="1" applyFill="1" applyBorder="1" applyAlignment="1">
      <alignment horizontal="center"/>
    </xf>
    <xf numFmtId="165" fontId="8" fillId="113" borderId="20" xfId="0" applyNumberFormat="1" applyFont="1" applyFill="1" applyBorder="1" applyAlignment="1">
      <alignment horizontal="center" vertical="center"/>
    </xf>
    <xf numFmtId="165" fontId="8" fillId="113" borderId="15" xfId="0" applyNumberFormat="1" applyFont="1" applyFill="1" applyBorder="1" applyAlignment="1">
      <alignment horizontal="center" vertical="center"/>
    </xf>
    <xf numFmtId="165" fontId="8" fillId="113" borderId="16" xfId="0" applyNumberFormat="1" applyFont="1" applyFill="1" applyBorder="1" applyAlignment="1">
      <alignment horizontal="center" vertical="center"/>
    </xf>
    <xf numFmtId="165" fontId="8" fillId="93" borderId="20" xfId="0" applyNumberFormat="1" applyFont="1" applyFill="1" applyBorder="1" applyAlignment="1">
      <alignment horizontal="center" vertical="center"/>
    </xf>
    <xf numFmtId="165" fontId="8" fillId="93" borderId="15" xfId="0" applyNumberFormat="1" applyFont="1" applyFill="1" applyBorder="1" applyAlignment="1">
      <alignment horizontal="center" vertical="center"/>
    </xf>
    <xf numFmtId="165" fontId="8" fillId="93" borderId="16" xfId="0" applyNumberFormat="1" applyFont="1" applyFill="1" applyBorder="1" applyAlignment="1">
      <alignment horizontal="center" vertical="center"/>
    </xf>
    <xf numFmtId="0" fontId="8" fillId="93" borderId="6" xfId="0" applyFont="1" applyFill="1" applyBorder="1" applyAlignment="1">
      <alignment vertical="center" wrapText="1"/>
    </xf>
    <xf numFmtId="0" fontId="8" fillId="93" borderId="16" xfId="0" applyFont="1" applyFill="1" applyBorder="1" applyAlignment="1">
      <alignment vertical="center" wrapText="1"/>
    </xf>
    <xf numFmtId="0" fontId="8" fillId="13" borderId="6" xfId="0" applyFont="1" applyFill="1" applyBorder="1" applyAlignment="1">
      <alignment horizontal="center" vertical="center" wrapText="1"/>
    </xf>
    <xf numFmtId="0" fontId="8" fillId="13" borderId="16" xfId="0" applyFont="1" applyFill="1" applyBorder="1" applyAlignment="1">
      <alignment horizontal="center" vertical="center" wrapText="1"/>
    </xf>
    <xf numFmtId="9" fontId="8" fillId="13" borderId="7" xfId="0" applyNumberFormat="1" applyFont="1" applyFill="1" applyBorder="1" applyAlignment="1">
      <alignment horizontal="center" vertical="center"/>
    </xf>
    <xf numFmtId="0" fontId="8" fillId="13" borderId="23" xfId="0" applyFont="1" applyFill="1" applyBorder="1" applyAlignment="1">
      <alignment horizontal="center" vertical="center"/>
    </xf>
    <xf numFmtId="0" fontId="8" fillId="31" borderId="11" xfId="0" applyFont="1" applyFill="1" applyBorder="1" applyAlignment="1">
      <alignment horizontal="left" vertical="center" wrapText="1"/>
    </xf>
    <xf numFmtId="0" fontId="8" fillId="31" borderId="26" xfId="0" applyFont="1" applyFill="1" applyBorder="1" applyAlignment="1">
      <alignment horizontal="left" vertical="center" wrapText="1"/>
    </xf>
    <xf numFmtId="165" fontId="7" fillId="31" borderId="16" xfId="0" applyNumberFormat="1" applyFont="1" applyFill="1" applyBorder="1" applyAlignment="1">
      <alignment horizontal="center" vertical="center"/>
    </xf>
    <xf numFmtId="0" fontId="7" fillId="31" borderId="12" xfId="0" applyFont="1" applyFill="1" applyBorder="1" applyAlignment="1">
      <alignment horizontal="left" vertical="center" wrapText="1"/>
    </xf>
    <xf numFmtId="0" fontId="7" fillId="31" borderId="14" xfId="0" applyFont="1" applyFill="1" applyBorder="1" applyAlignment="1">
      <alignment horizontal="left" vertical="center" wrapText="1"/>
    </xf>
    <xf numFmtId="0" fontId="6" fillId="16" borderId="14" xfId="0" applyFont="1" applyFill="1" applyBorder="1" applyAlignment="1">
      <alignment horizontal="left" wrapText="1"/>
    </xf>
    <xf numFmtId="0" fontId="6" fillId="16" borderId="22" xfId="0" applyFont="1" applyFill="1" applyBorder="1" applyAlignment="1">
      <alignment horizontal="left" wrapText="1"/>
    </xf>
    <xf numFmtId="0" fontId="7" fillId="31" borderId="6" xfId="0" applyFont="1" applyFill="1" applyBorder="1" applyAlignment="1">
      <alignment horizontal="left" vertical="center" wrapText="1"/>
    </xf>
    <xf numFmtId="0" fontId="6" fillId="16" borderId="16" xfId="0" applyFont="1" applyFill="1" applyBorder="1" applyAlignment="1">
      <alignment wrapText="1"/>
    </xf>
    <xf numFmtId="0" fontId="6" fillId="16" borderId="15" xfId="0" applyFont="1" applyFill="1" applyBorder="1" applyAlignment="1">
      <alignment horizontal="center"/>
    </xf>
    <xf numFmtId="0" fontId="6" fillId="16" borderId="16" xfId="0" applyFont="1" applyFill="1" applyBorder="1" applyAlignment="1">
      <alignment horizontal="center"/>
    </xf>
    <xf numFmtId="0" fontId="7" fillId="31" borderId="7" xfId="0" applyFont="1" applyFill="1" applyBorder="1" applyAlignment="1">
      <alignment horizontal="center" vertical="center"/>
    </xf>
    <xf numFmtId="0" fontId="7" fillId="31" borderId="17" xfId="0" applyFont="1" applyFill="1" applyBorder="1" applyAlignment="1">
      <alignment horizontal="center" vertical="center"/>
    </xf>
    <xf numFmtId="0" fontId="6" fillId="16" borderId="17" xfId="0" applyFont="1" applyFill="1" applyBorder="1" applyAlignment="1">
      <alignment horizontal="center"/>
    </xf>
    <xf numFmtId="0" fontId="6" fillId="16" borderId="23" xfId="0" applyFont="1" applyFill="1" applyBorder="1" applyAlignment="1">
      <alignment horizontal="center"/>
    </xf>
    <xf numFmtId="0" fontId="8" fillId="31" borderId="11" xfId="0" applyFont="1" applyFill="1" applyBorder="1" applyAlignment="1">
      <alignment vertical="center" wrapText="1"/>
    </xf>
    <xf numFmtId="165" fontId="7" fillId="112" borderId="6" xfId="0" applyNumberFormat="1" applyFont="1" applyFill="1" applyBorder="1" applyAlignment="1">
      <alignment horizontal="center" vertical="center"/>
    </xf>
    <xf numFmtId="165" fontId="7" fillId="112" borderId="15" xfId="0" applyNumberFormat="1" applyFont="1" applyFill="1" applyBorder="1" applyAlignment="1">
      <alignment horizontal="center" vertical="center"/>
    </xf>
    <xf numFmtId="0" fontId="7" fillId="31" borderId="53" xfId="0" applyFont="1" applyFill="1" applyBorder="1" applyAlignment="1">
      <alignment horizontal="center" vertical="center"/>
    </xf>
    <xf numFmtId="0" fontId="7" fillId="31" borderId="23" xfId="0" applyFont="1" applyFill="1" applyBorder="1" applyAlignment="1">
      <alignment horizontal="center" vertical="center"/>
    </xf>
    <xf numFmtId="165" fontId="7" fillId="112" borderId="16" xfId="0" applyNumberFormat="1" applyFont="1" applyFill="1" applyBorder="1" applyAlignment="1">
      <alignment horizontal="center" vertical="center"/>
    </xf>
    <xf numFmtId="165" fontId="6" fillId="112" borderId="6" xfId="0" applyNumberFormat="1" applyFont="1" applyFill="1" applyBorder="1" applyAlignment="1">
      <alignment horizontal="center" vertical="center"/>
    </xf>
    <xf numFmtId="165" fontId="7" fillId="90" borderId="20" xfId="0" applyNumberFormat="1" applyFont="1" applyFill="1" applyBorder="1" applyAlignment="1">
      <alignment horizontal="center" vertical="center"/>
    </xf>
    <xf numFmtId="165" fontId="6" fillId="59" borderId="15" xfId="0" applyNumberFormat="1" applyFont="1" applyFill="1" applyBorder="1" applyAlignment="1">
      <alignment horizontal="center"/>
    </xf>
    <xf numFmtId="165" fontId="6" fillId="59" borderId="18" xfId="0" applyNumberFormat="1" applyFont="1" applyFill="1" applyBorder="1" applyAlignment="1">
      <alignment horizontal="center"/>
    </xf>
    <xf numFmtId="0" fontId="6" fillId="59" borderId="11" xfId="0" applyFont="1" applyFill="1" applyBorder="1" applyAlignment="1">
      <alignment horizontal="left" vertical="center" wrapText="1"/>
    </xf>
    <xf numFmtId="0" fontId="6" fillId="59" borderId="11" xfId="0" applyFont="1" applyFill="1" applyBorder="1" applyAlignment="1">
      <alignment horizontal="center" vertical="center"/>
    </xf>
    <xf numFmtId="0" fontId="8" fillId="89" borderId="52" xfId="0" applyFont="1" applyFill="1" applyBorder="1" applyAlignment="1">
      <alignment vertical="center" wrapText="1"/>
    </xf>
    <xf numFmtId="0" fontId="6" fillId="11" borderId="17" xfId="0" applyFont="1" applyFill="1" applyBorder="1" applyAlignment="1">
      <alignment wrapText="1"/>
    </xf>
    <xf numFmtId="0" fontId="6" fillId="11" borderId="4" xfId="0" applyFont="1" applyFill="1" applyBorder="1" applyAlignment="1">
      <alignment wrapText="1"/>
    </xf>
    <xf numFmtId="0" fontId="7" fillId="90" borderId="54" xfId="0" applyFont="1" applyFill="1" applyBorder="1" applyAlignment="1">
      <alignment horizontal="left" vertical="center" wrapText="1"/>
    </xf>
    <xf numFmtId="0" fontId="6" fillId="59" borderId="0" xfId="0" applyFont="1" applyFill="1" applyBorder="1" applyAlignment="1">
      <alignment horizontal="left" wrapText="1"/>
    </xf>
    <xf numFmtId="0" fontId="6" fillId="59" borderId="5" xfId="0" applyFont="1" applyFill="1" applyBorder="1" applyAlignment="1">
      <alignment horizontal="left" wrapText="1"/>
    </xf>
    <xf numFmtId="165" fontId="7" fillId="115" borderId="20" xfId="0" applyNumberFormat="1" applyFont="1" applyFill="1" applyBorder="1" applyAlignment="1">
      <alignment horizontal="center" vertical="center"/>
    </xf>
    <xf numFmtId="0" fontId="7" fillId="104" borderId="20" xfId="0" applyFont="1" applyFill="1" applyBorder="1" applyAlignment="1">
      <alignment horizontal="center" vertical="center"/>
    </xf>
    <xf numFmtId="0" fontId="6" fillId="29" borderId="15" xfId="0" applyFont="1" applyFill="1" applyBorder="1" applyAlignment="1">
      <alignment horizontal="center"/>
    </xf>
    <xf numFmtId="0" fontId="6" fillId="29" borderId="16" xfId="0" applyFont="1" applyFill="1" applyBorder="1" applyAlignment="1">
      <alignment horizontal="center"/>
    </xf>
    <xf numFmtId="0" fontId="8" fillId="104" borderId="52" xfId="0" applyFont="1" applyFill="1" applyBorder="1" applyAlignment="1">
      <alignment horizontal="center" vertical="center"/>
    </xf>
    <xf numFmtId="0" fontId="8" fillId="104" borderId="17" xfId="0" applyFont="1" applyFill="1" applyBorder="1" applyAlignment="1">
      <alignment horizontal="center" vertical="center"/>
    </xf>
    <xf numFmtId="0" fontId="8" fillId="104" borderId="23" xfId="0" applyFont="1" applyFill="1" applyBorder="1" applyAlignment="1">
      <alignment horizontal="center" vertical="center"/>
    </xf>
    <xf numFmtId="164" fontId="8" fillId="29" borderId="40" xfId="2" applyNumberFormat="1" applyFont="1" applyFill="1" applyBorder="1" applyAlignment="1">
      <alignment horizontal="center" vertical="center"/>
    </xf>
    <xf numFmtId="164" fontId="8" fillId="29" borderId="15" xfId="2" applyNumberFormat="1" applyFont="1" applyFill="1" applyBorder="1" applyAlignment="1">
      <alignment horizontal="center" vertical="center"/>
    </xf>
    <xf numFmtId="164" fontId="8" fillId="29" borderId="16" xfId="2" applyNumberFormat="1" applyFont="1" applyFill="1" applyBorder="1" applyAlignment="1">
      <alignment horizontal="center" vertical="center"/>
    </xf>
    <xf numFmtId="164" fontId="8" fillId="15" borderId="40" xfId="2" applyNumberFormat="1" applyFont="1" applyFill="1" applyBorder="1" applyAlignment="1">
      <alignment horizontal="center" vertical="center"/>
    </xf>
    <xf numFmtId="164" fontId="8" fillId="15" borderId="15" xfId="2" applyNumberFormat="1" applyFont="1" applyFill="1" applyBorder="1" applyAlignment="1">
      <alignment horizontal="center" vertical="center"/>
    </xf>
    <xf numFmtId="164" fontId="8" fillId="15" borderId="16" xfId="2" applyNumberFormat="1" applyFont="1" applyFill="1" applyBorder="1" applyAlignment="1">
      <alignment horizontal="center" vertical="center"/>
    </xf>
    <xf numFmtId="165" fontId="8" fillId="33" borderId="6" xfId="0" applyNumberFormat="1" applyFont="1" applyFill="1" applyBorder="1" applyAlignment="1">
      <alignment horizontal="center" vertical="center"/>
    </xf>
    <xf numFmtId="165" fontId="6" fillId="34" borderId="15" xfId="0" applyNumberFormat="1" applyFont="1" applyFill="1" applyBorder="1" applyAlignment="1">
      <alignment horizontal="center"/>
    </xf>
    <xf numFmtId="165" fontId="8" fillId="34" borderId="16" xfId="0" applyNumberFormat="1" applyFont="1" applyFill="1" applyBorder="1" applyAlignment="1">
      <alignment horizontal="center"/>
    </xf>
    <xf numFmtId="0" fontId="8" fillId="104" borderId="6" xfId="0" applyFont="1" applyFill="1" applyBorder="1" applyAlignment="1">
      <alignment horizontal="center" vertical="center"/>
    </xf>
    <xf numFmtId="0" fontId="8" fillId="104" borderId="7" xfId="0" applyFont="1" applyFill="1" applyBorder="1" applyAlignment="1">
      <alignment horizontal="center" vertical="center"/>
    </xf>
    <xf numFmtId="0" fontId="6" fillId="29" borderId="17" xfId="0" applyFont="1" applyFill="1" applyBorder="1" applyAlignment="1">
      <alignment horizontal="center"/>
    </xf>
    <xf numFmtId="0" fontId="6" fillId="29" borderId="23" xfId="0" applyFont="1" applyFill="1" applyBorder="1" applyAlignment="1">
      <alignment horizontal="center"/>
    </xf>
    <xf numFmtId="0" fontId="8" fillId="104" borderId="12" xfId="0" applyFont="1" applyFill="1" applyBorder="1" applyAlignment="1">
      <alignment horizontal="left" vertical="center" wrapText="1"/>
    </xf>
    <xf numFmtId="0" fontId="6" fillId="29" borderId="14" xfId="0" applyFont="1" applyFill="1" applyBorder="1" applyAlignment="1">
      <alignment wrapText="1"/>
    </xf>
    <xf numFmtId="0" fontId="6" fillId="29" borderId="22" xfId="0" applyFont="1" applyFill="1" applyBorder="1" applyAlignment="1">
      <alignment wrapText="1"/>
    </xf>
    <xf numFmtId="0" fontId="7" fillId="104" borderId="6" xfId="0" applyFont="1" applyFill="1" applyBorder="1" applyAlignment="1">
      <alignment horizontal="left" vertical="center"/>
    </xf>
    <xf numFmtId="0" fontId="6" fillId="29" borderId="15" xfId="0" applyFont="1" applyFill="1" applyBorder="1" applyAlignment="1"/>
    <xf numFmtId="0" fontId="6" fillId="29" borderId="16" xfId="0" applyFont="1" applyFill="1" applyBorder="1" applyAlignment="1"/>
    <xf numFmtId="0" fontId="8" fillId="104" borderId="6" xfId="0" applyFont="1" applyFill="1" applyBorder="1" applyAlignment="1">
      <alignment horizontal="center" vertical="center" wrapText="1"/>
    </xf>
    <xf numFmtId="0" fontId="8" fillId="104" borderId="15" xfId="0" applyFont="1" applyFill="1" applyBorder="1" applyAlignment="1">
      <alignment horizontal="center" vertical="center" wrapText="1"/>
    </xf>
    <xf numFmtId="0" fontId="8" fillId="104" borderId="16" xfId="0" applyFont="1" applyFill="1" applyBorder="1" applyAlignment="1">
      <alignment horizontal="center" vertical="center" wrapText="1"/>
    </xf>
    <xf numFmtId="0" fontId="8" fillId="104" borderId="46" xfId="0" applyFont="1" applyFill="1" applyBorder="1" applyAlignment="1">
      <alignment horizontal="left" vertical="center"/>
    </xf>
    <xf numFmtId="0" fontId="6" fillId="29" borderId="14" xfId="0" applyFont="1" applyFill="1" applyBorder="1" applyAlignment="1"/>
    <xf numFmtId="0" fontId="6" fillId="29" borderId="22" xfId="0" applyFont="1" applyFill="1" applyBorder="1" applyAlignment="1"/>
    <xf numFmtId="0" fontId="7" fillId="104" borderId="20" xfId="0" applyFont="1" applyFill="1" applyBorder="1" applyAlignment="1">
      <alignment horizontal="left" vertical="center"/>
    </xf>
    <xf numFmtId="0" fontId="7" fillId="104" borderId="20" xfId="0" applyFont="1" applyFill="1" applyBorder="1" applyAlignment="1">
      <alignment horizontal="center" vertical="center" wrapText="1"/>
    </xf>
    <xf numFmtId="0" fontId="6" fillId="29" borderId="15" xfId="0" applyFont="1" applyFill="1" applyBorder="1" applyAlignment="1">
      <alignment horizontal="center" wrapText="1"/>
    </xf>
    <xf numFmtId="0" fontId="6" fillId="29" borderId="16" xfId="0" applyFont="1" applyFill="1" applyBorder="1" applyAlignment="1">
      <alignment horizontal="center" wrapText="1"/>
    </xf>
    <xf numFmtId="0" fontId="8" fillId="104" borderId="26" xfId="0" applyFont="1" applyFill="1" applyBorder="1" applyAlignment="1">
      <alignment horizontal="left" vertical="center" wrapText="1"/>
    </xf>
    <xf numFmtId="0" fontId="8" fillId="104" borderId="36" xfId="0" applyFont="1" applyFill="1" applyBorder="1" applyAlignment="1">
      <alignment horizontal="left" vertical="center" wrapText="1"/>
    </xf>
    <xf numFmtId="0" fontId="8" fillId="104" borderId="30" xfId="0" applyFont="1" applyFill="1" applyBorder="1" applyAlignment="1">
      <alignment horizontal="left" vertical="center" wrapText="1"/>
    </xf>
    <xf numFmtId="164" fontId="8" fillId="29" borderId="6" xfId="2" applyNumberFormat="1" applyFont="1" applyFill="1" applyBorder="1" applyAlignment="1">
      <alignment horizontal="center" vertical="center"/>
    </xf>
    <xf numFmtId="0" fontId="7" fillId="104" borderId="12" xfId="0" applyFont="1" applyFill="1" applyBorder="1" applyAlignment="1">
      <alignment horizontal="center" vertical="center" wrapText="1"/>
    </xf>
    <xf numFmtId="0" fontId="7" fillId="104" borderId="14" xfId="0" applyFont="1" applyFill="1" applyBorder="1" applyAlignment="1">
      <alignment horizontal="center" vertical="center" wrapText="1"/>
    </xf>
    <xf numFmtId="0" fontId="7" fillId="104" borderId="22" xfId="0" applyFont="1" applyFill="1" applyBorder="1" applyAlignment="1">
      <alignment horizontal="center" vertical="center" wrapText="1"/>
    </xf>
    <xf numFmtId="164" fontId="8" fillId="15" borderId="6" xfId="2" applyNumberFormat="1" applyFont="1" applyFill="1" applyBorder="1" applyAlignment="1">
      <alignment horizontal="center" vertical="center"/>
    </xf>
    <xf numFmtId="165" fontId="6" fillId="34" borderId="16" xfId="0" applyNumberFormat="1" applyFont="1" applyFill="1" applyBorder="1" applyAlignment="1">
      <alignment horizontal="center"/>
    </xf>
    <xf numFmtId="0" fontId="8" fillId="104" borderId="12" xfId="0" applyFont="1" applyFill="1" applyBorder="1" applyAlignment="1">
      <alignment horizontal="left" vertical="center"/>
    </xf>
    <xf numFmtId="165" fontId="6" fillId="34" borderId="11" xfId="0" applyNumberFormat="1" applyFont="1" applyFill="1" applyBorder="1" applyAlignment="1">
      <alignment horizontal="center"/>
    </xf>
    <xf numFmtId="165" fontId="8" fillId="37" borderId="56" xfId="0" applyNumberFormat="1" applyFont="1" applyFill="1" applyBorder="1" applyAlignment="1">
      <alignment horizontal="center" vertical="center"/>
    </xf>
    <xf numFmtId="165" fontId="8" fillId="37" borderId="42" xfId="0" applyNumberFormat="1" applyFont="1" applyFill="1" applyBorder="1" applyAlignment="1">
      <alignment horizontal="center" vertical="center"/>
    </xf>
    <xf numFmtId="165" fontId="8" fillId="37" borderId="78" xfId="0" applyNumberFormat="1" applyFont="1" applyFill="1" applyBorder="1" applyAlignment="1">
      <alignment horizontal="center" vertical="center"/>
    </xf>
    <xf numFmtId="0" fontId="6" fillId="0" borderId="26" xfId="0" applyFont="1" applyBorder="1" applyAlignment="1">
      <alignment vertical="center" wrapText="1"/>
    </xf>
    <xf numFmtId="0" fontId="6" fillId="0" borderId="36" xfId="0" applyFont="1" applyBorder="1" applyAlignment="1">
      <alignment vertical="center" wrapText="1"/>
    </xf>
    <xf numFmtId="0" fontId="6" fillId="0" borderId="30" xfId="0" applyFont="1" applyBorder="1" applyAlignment="1">
      <alignment vertical="center" wrapText="1"/>
    </xf>
    <xf numFmtId="0" fontId="6" fillId="48" borderId="20" xfId="0" applyFont="1" applyFill="1" applyBorder="1" applyAlignment="1">
      <alignment vertical="center" wrapText="1"/>
    </xf>
    <xf numFmtId="0" fontId="6" fillId="48" borderId="15" xfId="0" applyFont="1" applyFill="1" applyBorder="1" applyAlignment="1">
      <alignment vertical="center" wrapText="1"/>
    </xf>
    <xf numFmtId="0" fontId="6" fillId="48" borderId="16" xfId="0" applyFont="1" applyFill="1" applyBorder="1" applyAlignment="1">
      <alignment vertical="center" wrapText="1"/>
    </xf>
    <xf numFmtId="0" fontId="6" fillId="48" borderId="20" xfId="0" applyFont="1" applyFill="1" applyBorder="1" applyAlignment="1">
      <alignment horizontal="left" vertical="center" wrapText="1"/>
    </xf>
    <xf numFmtId="0" fontId="6" fillId="48" borderId="15" xfId="0" applyFont="1" applyFill="1" applyBorder="1" applyAlignment="1">
      <alignment horizontal="left" vertical="center" wrapText="1"/>
    </xf>
    <xf numFmtId="0" fontId="6" fillId="48" borderId="16" xfId="0" applyFont="1" applyFill="1" applyBorder="1" applyAlignment="1">
      <alignment horizontal="left" vertical="center" wrapText="1"/>
    </xf>
    <xf numFmtId="0" fontId="6" fillId="48" borderId="20" xfId="0" applyFont="1" applyFill="1" applyBorder="1" applyAlignment="1">
      <alignment horizontal="center" vertical="center"/>
    </xf>
    <xf numFmtId="0" fontId="6" fillId="48" borderId="15" xfId="0" applyFont="1" applyFill="1" applyBorder="1" applyAlignment="1">
      <alignment horizontal="center" vertical="center"/>
    </xf>
    <xf numFmtId="0" fontId="6" fillId="48" borderId="16" xfId="0" applyFont="1" applyFill="1" applyBorder="1" applyAlignment="1">
      <alignment horizontal="center" vertical="center"/>
    </xf>
    <xf numFmtId="9" fontId="7" fillId="37" borderId="15" xfId="0" applyNumberFormat="1" applyFont="1" applyFill="1" applyBorder="1" applyAlignment="1">
      <alignment horizontal="left" vertical="center" wrapText="1"/>
    </xf>
    <xf numFmtId="0" fontId="6" fillId="39" borderId="15" xfId="0" applyFont="1" applyFill="1" applyBorder="1" applyAlignment="1">
      <alignment wrapText="1"/>
    </xf>
    <xf numFmtId="0" fontId="6" fillId="39" borderId="18" xfId="0" applyFont="1" applyFill="1" applyBorder="1" applyAlignment="1">
      <alignment wrapText="1"/>
    </xf>
    <xf numFmtId="165" fontId="8" fillId="105" borderId="56" xfId="0" applyNumberFormat="1" applyFont="1" applyFill="1" applyBorder="1" applyAlignment="1">
      <alignment horizontal="center" vertical="center"/>
    </xf>
    <xf numFmtId="165" fontId="8" fillId="105" borderId="42" xfId="0" applyNumberFormat="1" applyFont="1" applyFill="1" applyBorder="1" applyAlignment="1">
      <alignment horizontal="center" vertical="center"/>
    </xf>
    <xf numFmtId="165" fontId="8" fillId="105" borderId="78" xfId="0" applyNumberFormat="1" applyFont="1" applyFill="1" applyBorder="1" applyAlignment="1">
      <alignment horizontal="center" vertical="center"/>
    </xf>
    <xf numFmtId="0" fontId="8" fillId="77" borderId="17" xfId="0" applyFont="1" applyFill="1" applyBorder="1" applyAlignment="1">
      <alignment vertical="center" wrapText="1"/>
    </xf>
    <xf numFmtId="0" fontId="7" fillId="37" borderId="14" xfId="0" applyFont="1" applyFill="1" applyBorder="1" applyAlignment="1">
      <alignment horizontal="center" vertical="center"/>
    </xf>
    <xf numFmtId="0" fontId="6" fillId="39" borderId="14" xfId="0" applyFont="1" applyFill="1" applyBorder="1" applyAlignment="1"/>
    <xf numFmtId="0" fontId="6" fillId="39" borderId="49" xfId="0" applyFont="1" applyFill="1" applyBorder="1" applyAlignment="1"/>
    <xf numFmtId="0" fontId="8" fillId="37" borderId="15" xfId="0" applyFont="1" applyFill="1" applyBorder="1" applyAlignment="1">
      <alignment horizontal="left" vertical="center" wrapText="1"/>
    </xf>
    <xf numFmtId="0" fontId="6" fillId="39" borderId="15" xfId="0" applyFont="1" applyFill="1" applyBorder="1" applyAlignment="1">
      <alignment horizontal="left" wrapText="1"/>
    </xf>
    <xf numFmtId="0" fontId="6" fillId="39" borderId="18" xfId="0" applyFont="1" applyFill="1" applyBorder="1" applyAlignment="1">
      <alignment horizontal="left" wrapText="1"/>
    </xf>
    <xf numFmtId="0" fontId="7" fillId="37" borderId="15" xfId="0" applyFont="1" applyFill="1" applyBorder="1" applyAlignment="1">
      <alignment horizontal="center" vertical="center"/>
    </xf>
    <xf numFmtId="0" fontId="6" fillId="39" borderId="15" xfId="0" applyFont="1" applyFill="1" applyBorder="1" applyAlignment="1">
      <alignment horizontal="center"/>
    </xf>
    <xf numFmtId="0" fontId="6" fillId="39" borderId="18" xfId="0" applyFont="1" applyFill="1" applyBorder="1" applyAlignment="1">
      <alignment horizontal="center"/>
    </xf>
    <xf numFmtId="9" fontId="8" fillId="37" borderId="15" xfId="0" applyNumberFormat="1" applyFont="1" applyFill="1" applyBorder="1" applyAlignment="1">
      <alignment horizontal="center" vertical="center"/>
    </xf>
    <xf numFmtId="165" fontId="8" fillId="76" borderId="20" xfId="0" applyNumberFormat="1" applyFont="1" applyFill="1" applyBorder="1" applyAlignment="1">
      <alignment horizontal="center" vertical="center"/>
    </xf>
    <xf numFmtId="165" fontId="6" fillId="21" borderId="18" xfId="0" applyNumberFormat="1" applyFont="1" applyFill="1" applyBorder="1" applyAlignment="1">
      <alignment horizontal="center"/>
    </xf>
    <xf numFmtId="0" fontId="8" fillId="78" borderId="52" xfId="0" applyFont="1" applyFill="1" applyBorder="1" applyAlignment="1">
      <alignment horizontal="left" vertical="center" wrapText="1"/>
    </xf>
    <xf numFmtId="165" fontId="8" fillId="78" borderId="20" xfId="0" applyNumberFormat="1" applyFont="1" applyFill="1" applyBorder="1" applyAlignment="1">
      <alignment horizontal="center" vertical="center"/>
    </xf>
    <xf numFmtId="165" fontId="6" fillId="7" borderId="15" xfId="0" applyNumberFormat="1" applyFont="1" applyFill="1" applyBorder="1" applyAlignment="1">
      <alignment horizontal="center"/>
    </xf>
    <xf numFmtId="165" fontId="6" fillId="7" borderId="18" xfId="0" applyNumberFormat="1" applyFont="1" applyFill="1" applyBorder="1" applyAlignment="1">
      <alignment horizontal="center"/>
    </xf>
    <xf numFmtId="165" fontId="8" fillId="117" borderId="20" xfId="0" applyNumberFormat="1" applyFont="1" applyFill="1" applyBorder="1" applyAlignment="1">
      <alignment horizontal="center" vertical="center"/>
    </xf>
    <xf numFmtId="165" fontId="8" fillId="105" borderId="20" xfId="0" applyNumberFormat="1" applyFont="1" applyFill="1" applyBorder="1" applyAlignment="1">
      <alignment horizontal="center" vertical="center"/>
    </xf>
    <xf numFmtId="0" fontId="8" fillId="77" borderId="54" xfId="0" applyFont="1" applyFill="1" applyBorder="1" applyAlignment="1">
      <alignment vertical="center" wrapText="1"/>
    </xf>
    <xf numFmtId="0" fontId="8" fillId="76" borderId="46" xfId="0" applyFont="1" applyFill="1" applyBorder="1" applyAlignment="1">
      <alignment horizontal="left" vertical="center" wrapText="1"/>
    </xf>
    <xf numFmtId="0" fontId="6" fillId="21" borderId="49" xfId="0" applyFont="1" applyFill="1" applyBorder="1" applyAlignment="1">
      <alignment wrapText="1"/>
    </xf>
    <xf numFmtId="0" fontId="8" fillId="76" borderId="20" xfId="0" applyFont="1" applyFill="1" applyBorder="1" applyAlignment="1">
      <alignment horizontal="left" vertical="center" wrapText="1"/>
    </xf>
    <xf numFmtId="0" fontId="6" fillId="21" borderId="18" xfId="0" applyFont="1" applyFill="1" applyBorder="1" applyAlignment="1"/>
    <xf numFmtId="0" fontId="7" fillId="76" borderId="20" xfId="0" applyFont="1" applyFill="1" applyBorder="1" applyAlignment="1">
      <alignment horizontal="left" vertical="center" wrapText="1"/>
    </xf>
    <xf numFmtId="0" fontId="8" fillId="76" borderId="18" xfId="0" applyFont="1" applyFill="1" applyBorder="1" applyAlignment="1">
      <alignment horizontal="left" vertical="center" wrapText="1"/>
    </xf>
    <xf numFmtId="41" fontId="8" fillId="76" borderId="20" xfId="2" applyFont="1" applyFill="1" applyBorder="1" applyAlignment="1">
      <alignment horizontal="center" vertical="center"/>
    </xf>
    <xf numFmtId="41" fontId="6" fillId="21" borderId="18" xfId="2" applyFont="1" applyFill="1" applyBorder="1" applyAlignment="1">
      <alignment horizontal="center"/>
    </xf>
    <xf numFmtId="165" fontId="8" fillId="80" borderId="20" xfId="0" applyNumberFormat="1" applyFont="1" applyFill="1" applyBorder="1" applyAlignment="1">
      <alignment horizontal="center" vertical="center"/>
    </xf>
    <xf numFmtId="165" fontId="6" fillId="29" borderId="15" xfId="0" applyNumberFormat="1" applyFont="1" applyFill="1" applyBorder="1" applyAlignment="1">
      <alignment horizontal="center"/>
    </xf>
    <xf numFmtId="165" fontId="6" fillId="29" borderId="18" xfId="0" applyNumberFormat="1" applyFont="1" applyFill="1" applyBorder="1" applyAlignment="1">
      <alignment horizontal="center"/>
    </xf>
    <xf numFmtId="0" fontId="8" fillId="80" borderId="52" xfId="0" applyFont="1" applyFill="1" applyBorder="1" applyAlignment="1">
      <alignment horizontal="left" vertical="center" wrapText="1"/>
    </xf>
    <xf numFmtId="0" fontId="6" fillId="29" borderId="17" xfId="0" applyFont="1" applyFill="1" applyBorder="1" applyAlignment="1">
      <alignment wrapText="1"/>
    </xf>
    <xf numFmtId="0" fontId="6" fillId="29" borderId="4" xfId="0" applyFont="1" applyFill="1" applyBorder="1" applyAlignment="1">
      <alignment wrapText="1"/>
    </xf>
    <xf numFmtId="165" fontId="8" fillId="111" borderId="20" xfId="0" applyNumberFormat="1" applyFont="1" applyFill="1" applyBorder="1" applyAlignment="1">
      <alignment horizontal="center" vertical="center"/>
    </xf>
    <xf numFmtId="0" fontId="8" fillId="81" borderId="54" xfId="0" applyFont="1" applyFill="1" applyBorder="1" applyAlignment="1">
      <alignment vertical="center" wrapText="1"/>
    </xf>
    <xf numFmtId="0" fontId="8" fillId="80" borderId="46" xfId="0" applyFont="1" applyFill="1" applyBorder="1" applyAlignment="1">
      <alignment horizontal="left" vertical="center"/>
    </xf>
    <xf numFmtId="0" fontId="6" fillId="29" borderId="49" xfId="0" applyFont="1" applyFill="1" applyBorder="1" applyAlignment="1"/>
    <xf numFmtId="0" fontId="8" fillId="80" borderId="20" xfId="0" applyFont="1" applyFill="1" applyBorder="1" applyAlignment="1">
      <alignment horizontal="left" vertical="center" wrapText="1"/>
    </xf>
    <xf numFmtId="0" fontId="6" fillId="29" borderId="15" xfId="0" applyFont="1" applyFill="1" applyBorder="1" applyAlignment="1">
      <alignment wrapText="1"/>
    </xf>
    <xf numFmtId="0" fontId="6" fillId="29" borderId="18" xfId="0" applyFont="1" applyFill="1" applyBorder="1" applyAlignment="1">
      <alignment wrapText="1"/>
    </xf>
    <xf numFmtId="0" fontId="7" fillId="80" borderId="20" xfId="0" applyFont="1" applyFill="1" applyBorder="1" applyAlignment="1">
      <alignment horizontal="center" vertical="center" wrapText="1"/>
    </xf>
    <xf numFmtId="0" fontId="6" fillId="29" borderId="18" xfId="0" applyFont="1" applyFill="1" applyBorder="1" applyAlignment="1">
      <alignment horizontal="center" wrapText="1"/>
    </xf>
    <xf numFmtId="0" fontId="8" fillId="80" borderId="20" xfId="0" applyFont="1" applyFill="1" applyBorder="1" applyAlignment="1">
      <alignment horizontal="center" vertical="center"/>
    </xf>
    <xf numFmtId="0" fontId="6" fillId="29" borderId="18" xfId="0" applyFont="1" applyFill="1" applyBorder="1" applyAlignment="1">
      <alignment horizontal="center"/>
    </xf>
    <xf numFmtId="0" fontId="8" fillId="79" borderId="54" xfId="0" applyFont="1" applyFill="1" applyBorder="1" applyAlignment="1">
      <alignment vertical="center" wrapText="1"/>
    </xf>
    <xf numFmtId="0" fontId="8" fillId="78" borderId="46" xfId="0" applyFont="1" applyFill="1" applyBorder="1" applyAlignment="1">
      <alignment horizontal="left" vertical="center" wrapText="1"/>
    </xf>
    <xf numFmtId="0" fontId="6" fillId="7" borderId="14" xfId="0" applyFont="1" applyFill="1" applyBorder="1" applyAlignment="1">
      <alignment wrapText="1"/>
    </xf>
    <xf numFmtId="0" fontId="6" fillId="7" borderId="49" xfId="0" applyFont="1" applyFill="1" applyBorder="1" applyAlignment="1">
      <alignment wrapText="1"/>
    </xf>
    <xf numFmtId="0" fontId="8" fillId="78" borderId="20" xfId="0" applyFont="1" applyFill="1" applyBorder="1" applyAlignment="1">
      <alignment horizontal="left" vertical="center" wrapText="1"/>
    </xf>
    <xf numFmtId="0" fontId="8" fillId="78" borderId="15" xfId="0" applyFont="1" applyFill="1" applyBorder="1" applyAlignment="1">
      <alignment horizontal="left" vertical="center" wrapText="1"/>
    </xf>
    <xf numFmtId="0" fontId="8" fillId="78" borderId="18" xfId="0" applyFont="1" applyFill="1" applyBorder="1" applyAlignment="1">
      <alignment horizontal="left" vertical="center" wrapText="1"/>
    </xf>
    <xf numFmtId="0" fontId="7" fillId="78" borderId="20" xfId="0" applyFont="1" applyFill="1" applyBorder="1" applyAlignment="1">
      <alignment horizontal="center" vertical="center"/>
    </xf>
    <xf numFmtId="0" fontId="8" fillId="78" borderId="15" xfId="0" applyFont="1" applyFill="1" applyBorder="1" applyAlignment="1">
      <alignment horizontal="center" vertical="center"/>
    </xf>
    <xf numFmtId="0" fontId="8" fillId="78" borderId="18" xfId="0" applyFont="1" applyFill="1" applyBorder="1" applyAlignment="1">
      <alignment horizontal="center" vertical="center"/>
    </xf>
    <xf numFmtId="0" fontId="8" fillId="78" borderId="20" xfId="0" applyFont="1" applyFill="1" applyBorder="1" applyAlignment="1">
      <alignment horizontal="center" vertical="center"/>
    </xf>
    <xf numFmtId="0" fontId="8" fillId="0" borderId="11" xfId="0" applyFont="1" applyFill="1" applyBorder="1" applyAlignment="1">
      <alignment horizontal="center" vertical="center" wrapText="1"/>
    </xf>
    <xf numFmtId="0" fontId="0" fillId="43" borderId="6" xfId="0" applyFont="1" applyFill="1" applyBorder="1" applyAlignment="1">
      <alignment horizontal="center" vertical="center"/>
    </xf>
    <xf numFmtId="0" fontId="0" fillId="43" borderId="16" xfId="0" applyFont="1" applyFill="1" applyBorder="1" applyAlignment="1">
      <alignment horizontal="center" vertical="center"/>
    </xf>
    <xf numFmtId="0" fontId="0" fillId="44" borderId="6" xfId="0" applyFont="1" applyFill="1" applyBorder="1" applyAlignment="1">
      <alignment horizontal="center"/>
    </xf>
    <xf numFmtId="0" fontId="0" fillId="44" borderId="16" xfId="0" applyFont="1" applyFill="1" applyBorder="1" applyAlignment="1">
      <alignment horizontal="center"/>
    </xf>
    <xf numFmtId="0" fontId="8" fillId="84" borderId="6" xfId="0" applyFont="1" applyFill="1" applyBorder="1" applyAlignment="1">
      <alignment horizontal="left" vertical="center" wrapText="1"/>
    </xf>
    <xf numFmtId="0" fontId="6" fillId="62" borderId="15" xfId="0" applyFont="1" applyFill="1" applyBorder="1" applyAlignment="1">
      <alignment horizontal="left" wrapText="1"/>
    </xf>
    <xf numFmtId="0" fontId="6" fillId="62" borderId="67" xfId="0" applyFont="1" applyFill="1" applyBorder="1" applyAlignment="1">
      <alignment horizontal="left" wrapText="1"/>
    </xf>
    <xf numFmtId="0" fontId="8" fillId="84" borderId="6" xfId="0" applyFont="1" applyFill="1" applyBorder="1" applyAlignment="1">
      <alignment horizontal="center" vertical="center"/>
    </xf>
    <xf numFmtId="0" fontId="8" fillId="84" borderId="15" xfId="0" applyFont="1" applyFill="1" applyBorder="1" applyAlignment="1">
      <alignment horizontal="center" vertical="center"/>
    </xf>
    <xf numFmtId="0" fontId="8" fillId="84" borderId="67" xfId="0" applyFont="1" applyFill="1" applyBorder="1" applyAlignment="1">
      <alignment horizontal="center" vertical="center"/>
    </xf>
    <xf numFmtId="0" fontId="6" fillId="62" borderId="15" xfId="0" applyFont="1" applyFill="1" applyBorder="1" applyAlignment="1">
      <alignment horizontal="center"/>
    </xf>
    <xf numFmtId="0" fontId="6" fillId="62" borderId="67" xfId="0" applyFont="1" applyFill="1" applyBorder="1" applyAlignment="1">
      <alignment horizontal="center"/>
    </xf>
    <xf numFmtId="9" fontId="0" fillId="42" borderId="15" xfId="0" applyNumberFormat="1" applyFont="1" applyFill="1" applyBorder="1" applyAlignment="1">
      <alignment horizontal="center" vertical="center" wrapText="1"/>
    </xf>
    <xf numFmtId="0" fontId="0" fillId="42" borderId="15" xfId="0" applyFont="1" applyFill="1" applyBorder="1" applyAlignment="1">
      <alignment horizontal="center" vertical="center" wrapText="1"/>
    </xf>
    <xf numFmtId="0" fontId="0" fillId="42" borderId="18" xfId="0" applyFont="1" applyFill="1" applyBorder="1" applyAlignment="1">
      <alignment horizontal="center" vertical="center" wrapText="1"/>
    </xf>
    <xf numFmtId="9" fontId="0" fillId="43" borderId="6" xfId="0" applyNumberFormat="1" applyFont="1" applyFill="1" applyBorder="1" applyAlignment="1">
      <alignment horizontal="center" vertical="center"/>
    </xf>
    <xf numFmtId="0" fontId="0" fillId="43" borderId="15" xfId="0" applyFont="1" applyFill="1" applyBorder="1" applyAlignment="1">
      <alignment horizontal="center" vertical="center"/>
    </xf>
    <xf numFmtId="165" fontId="8" fillId="82" borderId="20" xfId="0" applyNumberFormat="1" applyFont="1" applyFill="1" applyBorder="1" applyAlignment="1">
      <alignment horizontal="center" vertical="center"/>
    </xf>
    <xf numFmtId="0" fontId="8" fillId="85" borderId="92" xfId="0" applyFont="1" applyFill="1" applyBorder="1" applyAlignment="1">
      <alignment vertical="center" wrapText="1"/>
    </xf>
    <xf numFmtId="0" fontId="6" fillId="11" borderId="95" xfId="0" applyFont="1" applyFill="1" applyBorder="1" applyAlignment="1">
      <alignment wrapText="1"/>
    </xf>
    <xf numFmtId="0" fontId="7" fillId="84" borderId="59" xfId="0" applyFont="1" applyFill="1" applyBorder="1" applyAlignment="1">
      <alignment horizontal="left" vertical="center" wrapText="1"/>
    </xf>
    <xf numFmtId="0" fontId="6" fillId="62" borderId="14" xfId="0" applyFont="1" applyFill="1" applyBorder="1" applyAlignment="1">
      <alignment wrapText="1"/>
    </xf>
    <xf numFmtId="0" fontId="6" fillId="62" borderId="66" xfId="0" applyFont="1" applyFill="1" applyBorder="1" applyAlignment="1">
      <alignment wrapText="1"/>
    </xf>
    <xf numFmtId="0" fontId="8" fillId="84" borderId="60" xfId="0" applyFont="1" applyFill="1" applyBorder="1" applyAlignment="1">
      <alignment horizontal="left" vertical="center" wrapText="1"/>
    </xf>
    <xf numFmtId="0" fontId="6" fillId="62" borderId="15" xfId="0" applyFont="1" applyFill="1" applyBorder="1" applyAlignment="1">
      <alignment wrapText="1"/>
    </xf>
    <xf numFmtId="0" fontId="6" fillId="62" borderId="67" xfId="0" applyFont="1" applyFill="1" applyBorder="1" applyAlignment="1">
      <alignment wrapText="1"/>
    </xf>
    <xf numFmtId="0" fontId="8" fillId="84" borderId="60" xfId="0" applyFont="1" applyFill="1" applyBorder="1" applyAlignment="1">
      <alignment horizontal="center" vertical="center"/>
    </xf>
    <xf numFmtId="0" fontId="6" fillId="62" borderId="16" xfId="0" applyFont="1" applyFill="1" applyBorder="1" applyAlignment="1">
      <alignment horizontal="center"/>
    </xf>
    <xf numFmtId="0" fontId="8" fillId="0" borderId="52" xfId="0" applyFont="1" applyFill="1" applyBorder="1" applyAlignment="1">
      <alignment horizontal="left" vertical="center"/>
    </xf>
    <xf numFmtId="0" fontId="6" fillId="0" borderId="17" xfId="0" applyFont="1" applyFill="1" applyBorder="1" applyAlignment="1"/>
    <xf numFmtId="165" fontId="6" fillId="0" borderId="20" xfId="0" applyNumberFormat="1" applyFont="1" applyBorder="1" applyAlignment="1">
      <alignment horizontal="center" vertical="center"/>
    </xf>
    <xf numFmtId="165" fontId="6" fillId="0" borderId="15" xfId="0" applyNumberFormat="1" applyFont="1" applyBorder="1" applyAlignment="1">
      <alignment horizontal="center" vertical="center"/>
    </xf>
    <xf numFmtId="165" fontId="6" fillId="15" borderId="20" xfId="0" applyNumberFormat="1" applyFont="1" applyFill="1" applyBorder="1" applyAlignment="1">
      <alignment horizontal="center" vertical="center"/>
    </xf>
    <xf numFmtId="165" fontId="6" fillId="15" borderId="15" xfId="0" applyNumberFormat="1" applyFont="1" applyFill="1" applyBorder="1" applyAlignment="1">
      <alignment horizontal="center" vertical="center"/>
    </xf>
    <xf numFmtId="0" fontId="8" fillId="83" borderId="54" xfId="0" applyFont="1" applyFill="1" applyBorder="1" applyAlignment="1">
      <alignment vertical="center" wrapText="1"/>
    </xf>
    <xf numFmtId="0" fontId="8" fillId="82" borderId="46" xfId="0" applyFont="1" applyFill="1" applyBorder="1" applyAlignment="1">
      <alignment horizontal="left" vertical="center"/>
    </xf>
    <xf numFmtId="0" fontId="8" fillId="82" borderId="20" xfId="0" applyFont="1" applyFill="1" applyBorder="1" applyAlignment="1">
      <alignment horizontal="left" vertical="center" wrapText="1"/>
    </xf>
    <xf numFmtId="0" fontId="6" fillId="24" borderId="18" xfId="0" applyFont="1" applyFill="1" applyBorder="1" applyAlignment="1">
      <alignment wrapText="1"/>
    </xf>
    <xf numFmtId="0" fontId="8" fillId="82" borderId="20" xfId="0" applyFont="1" applyFill="1" applyBorder="1" applyAlignment="1">
      <alignment horizontal="center" vertical="center" wrapText="1"/>
    </xf>
    <xf numFmtId="0" fontId="6" fillId="24" borderId="18" xfId="0" applyFont="1" applyFill="1" applyBorder="1" applyAlignment="1">
      <alignment horizontal="center" wrapText="1"/>
    </xf>
    <xf numFmtId="0" fontId="8" fillId="82" borderId="20" xfId="0" applyFont="1" applyFill="1" applyBorder="1" applyAlignment="1">
      <alignment horizontal="center" vertical="center"/>
    </xf>
    <xf numFmtId="0" fontId="6" fillId="24" borderId="15" xfId="0" applyFont="1" applyFill="1" applyBorder="1" applyAlignment="1">
      <alignment horizontal="center"/>
    </xf>
    <xf numFmtId="0" fontId="6" fillId="24" borderId="18" xfId="0" applyFont="1" applyFill="1" applyBorder="1" applyAlignment="1">
      <alignment horizontal="center"/>
    </xf>
    <xf numFmtId="0" fontId="8" fillId="82" borderId="52" xfId="0" applyFont="1" applyFill="1" applyBorder="1" applyAlignment="1">
      <alignment horizontal="left" vertical="center" wrapText="1"/>
    </xf>
    <xf numFmtId="0" fontId="6" fillId="24" borderId="17" xfId="0" applyFont="1" applyFill="1" applyBorder="1" applyAlignment="1">
      <alignment wrapText="1"/>
    </xf>
    <xf numFmtId="0" fontId="6" fillId="24" borderId="4" xfId="0" applyFont="1" applyFill="1" applyBorder="1" applyAlignment="1">
      <alignment wrapText="1"/>
    </xf>
    <xf numFmtId="165" fontId="8" fillId="118" borderId="20" xfId="0" applyNumberFormat="1" applyFont="1" applyFill="1" applyBorder="1" applyAlignment="1">
      <alignment horizontal="center" vertical="center"/>
    </xf>
    <xf numFmtId="165" fontId="0" fillId="42" borderId="6" xfId="0" applyNumberFormat="1" applyFont="1" applyFill="1" applyBorder="1" applyAlignment="1">
      <alignment horizontal="center" vertical="center" wrapText="1"/>
    </xf>
    <xf numFmtId="0" fontId="6" fillId="11" borderId="52" xfId="0" applyFont="1" applyFill="1" applyBorder="1" applyAlignment="1">
      <alignment vertical="center" wrapText="1"/>
    </xf>
    <xf numFmtId="0" fontId="6" fillId="11" borderId="17" xfId="0" applyFont="1" applyFill="1" applyBorder="1" applyAlignment="1">
      <alignment vertical="center" wrapText="1"/>
    </xf>
    <xf numFmtId="0" fontId="6" fillId="11" borderId="4" xfId="0" applyFont="1" applyFill="1" applyBorder="1" applyAlignment="1">
      <alignment vertical="center" wrapText="1"/>
    </xf>
    <xf numFmtId="0" fontId="0" fillId="42" borderId="37" xfId="0" applyFont="1" applyFill="1" applyBorder="1" applyAlignment="1">
      <alignment vertical="top" wrapText="1"/>
    </xf>
    <xf numFmtId="165" fontId="7" fillId="84" borderId="60" xfId="0" applyNumberFormat="1" applyFont="1" applyFill="1" applyBorder="1" applyAlignment="1">
      <alignment horizontal="center" vertical="center"/>
    </xf>
    <xf numFmtId="165" fontId="6" fillId="62" borderId="15" xfId="0" applyNumberFormat="1" applyFont="1" applyFill="1" applyBorder="1" applyAlignment="1">
      <alignment horizontal="center"/>
    </xf>
    <xf numFmtId="165" fontId="6" fillId="62" borderId="67" xfId="0" applyNumberFormat="1" applyFont="1" applyFill="1" applyBorder="1" applyAlignment="1">
      <alignment horizontal="center"/>
    </xf>
    <xf numFmtId="0" fontId="7" fillId="84" borderId="61" xfId="0" applyFont="1" applyFill="1" applyBorder="1" applyAlignment="1">
      <alignment horizontal="left" vertical="center" wrapText="1"/>
    </xf>
    <xf numFmtId="0" fontId="6" fillId="62" borderId="17" xfId="0" applyFont="1" applyFill="1" applyBorder="1" applyAlignment="1">
      <alignment horizontal="left" wrapText="1"/>
    </xf>
    <xf numFmtId="0" fontId="6" fillId="62" borderId="68" xfId="0" applyFont="1" applyFill="1" applyBorder="1" applyAlignment="1">
      <alignment horizontal="left" wrapText="1"/>
    </xf>
    <xf numFmtId="0" fontId="16" fillId="87" borderId="15" xfId="0" applyFont="1" applyFill="1" applyBorder="1" applyAlignment="1">
      <alignment vertical="center" wrapText="1"/>
    </xf>
    <xf numFmtId="0" fontId="16" fillId="87" borderId="7" xfId="0" applyFont="1" applyFill="1" applyBorder="1" applyAlignment="1">
      <alignment horizontal="left" vertical="center" wrapText="1"/>
    </xf>
    <xf numFmtId="165" fontId="16" fillId="87" borderId="15" xfId="0" applyNumberFormat="1" applyFont="1" applyFill="1" applyBorder="1" applyAlignment="1">
      <alignment horizontal="center" vertical="center"/>
    </xf>
    <xf numFmtId="0" fontId="6" fillId="0" borderId="57" xfId="0" applyFont="1" applyBorder="1" applyAlignment="1">
      <alignment horizontal="center" vertical="center"/>
    </xf>
    <xf numFmtId="0" fontId="6" fillId="0" borderId="91" xfId="0" applyFont="1" applyBorder="1" applyAlignment="1">
      <alignment horizontal="center" vertical="center"/>
    </xf>
    <xf numFmtId="0" fontId="6" fillId="0" borderId="96" xfId="0" applyFont="1" applyBorder="1" applyAlignment="1">
      <alignment horizontal="center" vertical="center"/>
    </xf>
    <xf numFmtId="165" fontId="8" fillId="14" borderId="11" xfId="0" applyNumberFormat="1" applyFont="1" applyFill="1" applyBorder="1" applyAlignment="1">
      <alignment horizontal="center" vertical="center"/>
    </xf>
    <xf numFmtId="0" fontId="7" fillId="0" borderId="6" xfId="0" applyFont="1" applyBorder="1" applyAlignment="1">
      <alignment vertical="center" wrapText="1"/>
    </xf>
    <xf numFmtId="0" fontId="18" fillId="0" borderId="15" xfId="0" applyFont="1" applyBorder="1" applyAlignment="1">
      <alignment wrapText="1"/>
    </xf>
    <xf numFmtId="0" fontId="18" fillId="0" borderId="16" xfId="0" applyFont="1" applyBorder="1" applyAlignment="1">
      <alignment wrapText="1"/>
    </xf>
    <xf numFmtId="0" fontId="16" fillId="88" borderId="0" xfId="0" applyFont="1" applyFill="1" applyBorder="1" applyAlignment="1">
      <alignment vertical="center" wrapText="1"/>
    </xf>
    <xf numFmtId="0" fontId="18" fillId="11" borderId="0" xfId="0" applyFont="1" applyFill="1" applyBorder="1" applyAlignment="1">
      <alignment wrapText="1"/>
    </xf>
    <xf numFmtId="0" fontId="16" fillId="87" borderId="14" xfId="0" applyFont="1" applyFill="1" applyBorder="1" applyAlignment="1">
      <alignment vertical="center" wrapText="1"/>
    </xf>
    <xf numFmtId="0" fontId="16" fillId="87" borderId="15" xfId="0" applyFont="1" applyFill="1" applyBorder="1" applyAlignment="1">
      <alignment horizontal="center" vertical="center" wrapText="1"/>
    </xf>
    <xf numFmtId="9" fontId="16" fillId="87" borderId="15" xfId="0" applyNumberFormat="1" applyFont="1" applyFill="1" applyBorder="1" applyAlignment="1">
      <alignment horizontal="center" vertical="center"/>
    </xf>
    <xf numFmtId="0" fontId="7" fillId="91" borderId="34" xfId="0" applyFont="1" applyFill="1" applyBorder="1" applyAlignment="1">
      <alignment horizontal="left" vertical="center" wrapText="1"/>
    </xf>
    <xf numFmtId="0" fontId="6" fillId="14" borderId="34" xfId="0" applyFont="1" applyFill="1" applyBorder="1" applyAlignment="1">
      <alignment horizontal="left" wrapText="1"/>
    </xf>
    <xf numFmtId="165" fontId="38" fillId="14" borderId="11" xfId="0" applyNumberFormat="1" applyFont="1" applyFill="1" applyBorder="1" applyAlignment="1">
      <alignment horizontal="center" vertical="center"/>
    </xf>
    <xf numFmtId="165" fontId="38" fillId="15" borderId="11" xfId="0" applyNumberFormat="1" applyFont="1" applyFill="1" applyBorder="1" applyAlignment="1">
      <alignment horizontal="center" vertical="center"/>
    </xf>
    <xf numFmtId="0" fontId="7" fillId="91" borderId="11" xfId="0" applyFont="1" applyFill="1" applyBorder="1" applyAlignment="1">
      <alignment horizontal="left" vertical="center" wrapText="1"/>
    </xf>
    <xf numFmtId="0" fontId="7" fillId="91" borderId="26" xfId="0" applyFont="1" applyFill="1" applyBorder="1" applyAlignment="1">
      <alignment horizontal="center" vertical="center"/>
    </xf>
    <xf numFmtId="0" fontId="7" fillId="91" borderId="30" xfId="0" applyFont="1" applyFill="1" applyBorder="1" applyAlignment="1">
      <alignment horizontal="center" vertical="center"/>
    </xf>
    <xf numFmtId="0" fontId="7" fillId="91" borderId="11" xfId="0" applyFont="1" applyFill="1" applyBorder="1" applyAlignment="1">
      <alignment horizontal="center" vertical="center"/>
    </xf>
    <xf numFmtId="0" fontId="8" fillId="14" borderId="37" xfId="0" applyFont="1" applyFill="1" applyBorder="1" applyAlignment="1">
      <alignment horizontal="left" vertical="center" wrapText="1"/>
    </xf>
    <xf numFmtId="0" fontId="29" fillId="45" borderId="25" xfId="0" applyFont="1" applyFill="1" applyBorder="1" applyAlignment="1">
      <alignment vertical="center" wrapText="1"/>
    </xf>
    <xf numFmtId="0" fontId="29" fillId="45" borderId="36" xfId="0" applyFont="1" applyFill="1" applyBorder="1" applyAlignment="1">
      <alignment vertical="center" wrapText="1"/>
    </xf>
    <xf numFmtId="0" fontId="29" fillId="45" borderId="30" xfId="0" applyFont="1" applyFill="1" applyBorder="1" applyAlignment="1">
      <alignment vertical="center" wrapText="1"/>
    </xf>
    <xf numFmtId="165" fontId="16" fillId="121" borderId="15" xfId="0" applyNumberFormat="1" applyFont="1" applyFill="1" applyBorder="1" applyAlignment="1">
      <alignment horizontal="center" vertical="center"/>
    </xf>
    <xf numFmtId="165" fontId="7" fillId="119" borderId="60" xfId="0" applyNumberFormat="1" applyFont="1" applyFill="1" applyBorder="1" applyAlignment="1">
      <alignment horizontal="center" vertical="center"/>
    </xf>
    <xf numFmtId="165" fontId="6" fillId="15" borderId="67" xfId="0" applyNumberFormat="1" applyFont="1" applyFill="1" applyBorder="1" applyAlignment="1">
      <alignment horizontal="center"/>
    </xf>
    <xf numFmtId="0" fontId="6" fillId="0" borderId="77" xfId="0" applyFont="1" applyBorder="1" applyAlignment="1">
      <alignment horizontal="left" vertical="center" wrapText="1"/>
    </xf>
    <xf numFmtId="0" fontId="6" fillId="0" borderId="41" xfId="0" applyFont="1" applyBorder="1" applyAlignment="1">
      <alignment horizontal="left" vertical="center" wrapText="1"/>
    </xf>
    <xf numFmtId="0" fontId="6" fillId="0" borderId="31" xfId="0" applyFont="1" applyBorder="1" applyAlignment="1">
      <alignment horizontal="left" vertical="center" wrapText="1"/>
    </xf>
    <xf numFmtId="0" fontId="6" fillId="65" borderId="93" xfId="0" applyFont="1" applyFill="1" applyBorder="1" applyAlignment="1">
      <alignment vertical="center" wrapText="1"/>
    </xf>
    <xf numFmtId="0" fontId="6" fillId="65" borderId="72" xfId="0" applyFont="1" applyFill="1" applyBorder="1" applyAlignment="1">
      <alignment vertical="center" wrapText="1"/>
    </xf>
    <xf numFmtId="0" fontId="6" fillId="65" borderId="94" xfId="0" applyFont="1" applyFill="1" applyBorder="1" applyAlignment="1">
      <alignment vertical="center" wrapText="1"/>
    </xf>
    <xf numFmtId="0" fontId="8" fillId="73" borderId="46" xfId="0" applyFont="1" applyFill="1" applyBorder="1" applyAlignment="1">
      <alignment horizontal="left" vertical="center" wrapText="1"/>
    </xf>
    <xf numFmtId="0" fontId="8" fillId="73" borderId="14" xfId="0" applyFont="1" applyFill="1" applyBorder="1" applyAlignment="1">
      <alignment horizontal="left" vertical="center" wrapText="1"/>
    </xf>
    <xf numFmtId="0" fontId="8" fillId="73" borderId="49" xfId="0" applyFont="1" applyFill="1" applyBorder="1" applyAlignment="1">
      <alignment horizontal="left" vertical="center" wrapText="1"/>
    </xf>
    <xf numFmtId="0" fontId="8" fillId="73" borderId="6" xfId="0" applyFont="1" applyFill="1" applyBorder="1" applyAlignment="1">
      <alignment horizontal="left" vertical="center" wrapText="1"/>
    </xf>
    <xf numFmtId="0" fontId="8" fillId="73" borderId="15" xfId="0" applyFont="1" applyFill="1" applyBorder="1" applyAlignment="1">
      <alignment horizontal="left" vertical="center" wrapText="1"/>
    </xf>
    <xf numFmtId="0" fontId="8" fillId="73" borderId="18" xfId="0" applyFont="1" applyFill="1" applyBorder="1" applyAlignment="1">
      <alignment horizontal="left" vertical="center" wrapText="1"/>
    </xf>
    <xf numFmtId="0" fontId="7" fillId="73" borderId="6" xfId="0" applyFont="1" applyFill="1" applyBorder="1" applyAlignment="1">
      <alignment horizontal="left" vertical="center" wrapText="1"/>
    </xf>
    <xf numFmtId="0" fontId="7" fillId="73" borderId="15" xfId="0" applyFont="1" applyFill="1" applyBorder="1" applyAlignment="1">
      <alignment horizontal="left" vertical="center" wrapText="1"/>
    </xf>
    <xf numFmtId="0" fontId="7" fillId="73" borderId="18" xfId="0" applyFont="1" applyFill="1" applyBorder="1" applyAlignment="1">
      <alignment horizontal="left" vertical="center" wrapText="1"/>
    </xf>
    <xf numFmtId="0" fontId="8" fillId="73" borderId="6" xfId="0" applyFont="1" applyFill="1" applyBorder="1" applyAlignment="1">
      <alignment horizontal="center" vertical="center"/>
    </xf>
    <xf numFmtId="0" fontId="8" fillId="73" borderId="15" xfId="0" applyFont="1" applyFill="1" applyBorder="1" applyAlignment="1">
      <alignment horizontal="center" vertical="center"/>
    </xf>
    <xf numFmtId="0" fontId="8" fillId="73" borderId="18" xfId="0" applyFont="1" applyFill="1" applyBorder="1" applyAlignment="1">
      <alignment horizontal="center" vertical="center"/>
    </xf>
    <xf numFmtId="0" fontId="8" fillId="100" borderId="6" xfId="0" applyFont="1" applyFill="1" applyBorder="1" applyAlignment="1">
      <alignment horizontal="center" vertical="center"/>
    </xf>
    <xf numFmtId="0" fontId="8" fillId="100" borderId="15" xfId="0" applyFont="1" applyFill="1" applyBorder="1" applyAlignment="1">
      <alignment horizontal="center" vertical="center"/>
    </xf>
    <xf numFmtId="0" fontId="8" fillId="100" borderId="18" xfId="0" applyFont="1" applyFill="1" applyBorder="1" applyAlignment="1">
      <alignment horizontal="center" vertical="center"/>
    </xf>
    <xf numFmtId="0" fontId="7" fillId="75" borderId="82" xfId="0" applyFont="1" applyFill="1" applyBorder="1" applyAlignment="1">
      <alignment vertical="center" wrapText="1"/>
    </xf>
    <xf numFmtId="0" fontId="7" fillId="75" borderId="72" xfId="0" applyFont="1" applyFill="1" applyBorder="1" applyAlignment="1">
      <alignment vertical="center" wrapText="1"/>
    </xf>
    <xf numFmtId="0" fontId="7" fillId="75" borderId="94" xfId="0" applyFont="1" applyFill="1" applyBorder="1" applyAlignment="1">
      <alignment vertical="center" wrapText="1"/>
    </xf>
    <xf numFmtId="0" fontId="6" fillId="48" borderId="56" xfId="0" applyFont="1" applyFill="1" applyBorder="1" applyAlignment="1">
      <alignment horizontal="left" vertical="center" wrapText="1"/>
    </xf>
    <xf numFmtId="0" fontId="6" fillId="48" borderId="42" xfId="0" applyFont="1" applyFill="1" applyBorder="1" applyAlignment="1">
      <alignment horizontal="left" vertical="center" wrapText="1"/>
    </xf>
    <xf numFmtId="0" fontId="6" fillId="48" borderId="78" xfId="0" applyFont="1" applyFill="1" applyBorder="1" applyAlignment="1">
      <alignment horizontal="left" vertical="center" wrapText="1"/>
    </xf>
    <xf numFmtId="0" fontId="17" fillId="56" borderId="0" xfId="0" applyFont="1" applyFill="1" applyBorder="1" applyAlignment="1">
      <alignment horizontal="left" vertical="center" wrapText="1"/>
    </xf>
    <xf numFmtId="0" fontId="18" fillId="35" borderId="0" xfId="0" applyFont="1" applyFill="1" applyBorder="1" applyAlignment="1">
      <alignment horizontal="left" wrapText="1"/>
    </xf>
    <xf numFmtId="0" fontId="7" fillId="56" borderId="6" xfId="0" applyFont="1" applyFill="1" applyBorder="1" applyAlignment="1">
      <alignment horizontal="center" vertical="center" wrapText="1"/>
    </xf>
    <xf numFmtId="0" fontId="18" fillId="35" borderId="15" xfId="0" applyFont="1" applyFill="1" applyBorder="1" applyAlignment="1">
      <alignment wrapText="1"/>
    </xf>
    <xf numFmtId="0" fontId="16" fillId="56" borderId="6" xfId="0" applyFont="1" applyFill="1" applyBorder="1" applyAlignment="1">
      <alignment horizontal="center" vertical="center"/>
    </xf>
    <xf numFmtId="0" fontId="18" fillId="35" borderId="15" xfId="0" applyFont="1" applyFill="1" applyBorder="1"/>
    <xf numFmtId="9" fontId="16" fillId="56" borderId="7" xfId="0" applyNumberFormat="1" applyFont="1" applyFill="1" applyBorder="1" applyAlignment="1">
      <alignment horizontal="center" vertical="center"/>
    </xf>
    <xf numFmtId="0" fontId="18" fillId="35" borderId="17" xfId="0" applyFont="1" applyFill="1" applyBorder="1"/>
    <xf numFmtId="0" fontId="16" fillId="56" borderId="6" xfId="0" applyFont="1" applyFill="1" applyBorder="1" applyAlignment="1">
      <alignment horizontal="left" vertical="center"/>
    </xf>
    <xf numFmtId="0" fontId="16" fillId="71" borderId="52" xfId="0" applyFont="1" applyFill="1" applyBorder="1" applyAlignment="1">
      <alignment vertical="center" wrapText="1"/>
    </xf>
    <xf numFmtId="0" fontId="16" fillId="71" borderId="17" xfId="0" applyFont="1" applyFill="1" applyBorder="1" applyAlignment="1">
      <alignment vertical="center" wrapText="1"/>
    </xf>
    <xf numFmtId="0" fontId="16" fillId="71" borderId="4" xfId="0" applyFont="1" applyFill="1" applyBorder="1" applyAlignment="1">
      <alignment vertical="center" wrapText="1"/>
    </xf>
    <xf numFmtId="0" fontId="16" fillId="96" borderId="0" xfId="0" applyFont="1" applyFill="1" applyBorder="1" applyAlignment="1">
      <alignment horizontal="left" vertical="center" wrapText="1"/>
    </xf>
    <xf numFmtId="0" fontId="18" fillId="24" borderId="0" xfId="0" applyFont="1" applyFill="1" applyBorder="1" applyAlignment="1">
      <alignment wrapText="1"/>
    </xf>
    <xf numFmtId="0" fontId="6" fillId="96" borderId="6" xfId="0" applyFont="1" applyFill="1" applyBorder="1" applyAlignment="1">
      <alignment horizontal="left" vertical="center" wrapText="1"/>
    </xf>
    <xf numFmtId="0" fontId="18" fillId="24" borderId="15" xfId="0" applyFont="1" applyFill="1" applyBorder="1" applyAlignment="1">
      <alignment wrapText="1"/>
    </xf>
    <xf numFmtId="0" fontId="18" fillId="24" borderId="16" xfId="0" applyFont="1" applyFill="1" applyBorder="1" applyAlignment="1">
      <alignment wrapText="1"/>
    </xf>
    <xf numFmtId="0" fontId="7" fillId="96" borderId="88" xfId="0" applyFont="1" applyFill="1" applyBorder="1" applyAlignment="1">
      <alignment horizontal="left" vertical="center" wrapText="1"/>
    </xf>
    <xf numFmtId="0" fontId="18" fillId="24" borderId="5" xfId="0" applyFont="1" applyFill="1" applyBorder="1" applyAlignment="1">
      <alignment wrapText="1"/>
    </xf>
    <xf numFmtId="0" fontId="7" fillId="96" borderId="6" xfId="0" applyFont="1" applyFill="1" applyBorder="1" applyAlignment="1">
      <alignment horizontal="left" vertical="center" wrapText="1"/>
    </xf>
    <xf numFmtId="0" fontId="7" fillId="92" borderId="54" xfId="0" applyFont="1" applyFill="1" applyBorder="1" applyAlignment="1">
      <alignment vertical="center" wrapText="1"/>
    </xf>
    <xf numFmtId="0" fontId="8" fillId="93" borderId="46" xfId="0" applyFont="1" applyFill="1" applyBorder="1" applyAlignment="1">
      <alignment horizontal="left" vertical="center" wrapText="1"/>
    </xf>
    <xf numFmtId="0" fontId="8" fillId="93" borderId="14" xfId="0" applyFont="1" applyFill="1" applyBorder="1" applyAlignment="1">
      <alignment horizontal="left" vertical="center" wrapText="1"/>
    </xf>
    <xf numFmtId="0" fontId="8" fillId="93" borderId="22" xfId="0" applyFont="1" applyFill="1" applyBorder="1" applyAlignment="1">
      <alignment horizontal="left" vertical="center" wrapText="1"/>
    </xf>
    <xf numFmtId="0" fontId="8" fillId="93" borderId="11" xfId="0" applyFont="1" applyFill="1" applyBorder="1" applyAlignment="1">
      <alignment horizontal="left" vertical="center" wrapText="1"/>
    </xf>
    <xf numFmtId="0" fontId="3" fillId="42" borderId="79" xfId="0" applyFont="1" applyFill="1" applyBorder="1" applyAlignment="1">
      <alignment horizontal="center" vertical="center" wrapText="1"/>
    </xf>
    <xf numFmtId="0" fontId="3" fillId="42" borderId="80" xfId="0" applyFont="1" applyFill="1" applyBorder="1" applyAlignment="1">
      <alignment horizontal="center" vertical="center" wrapText="1"/>
    </xf>
    <xf numFmtId="167" fontId="0" fillId="42" borderId="30" xfId="7" applyNumberFormat="1" applyFont="1" applyFill="1" applyBorder="1" applyAlignment="1">
      <alignment horizontal="center" vertical="center" wrapText="1"/>
    </xf>
    <xf numFmtId="0" fontId="8" fillId="64" borderId="54" xfId="0" applyFont="1" applyFill="1" applyBorder="1" applyAlignment="1">
      <alignment vertical="center" wrapText="1"/>
    </xf>
    <xf numFmtId="0" fontId="8" fillId="64" borderId="0" xfId="0" applyFont="1" applyFill="1" applyBorder="1" applyAlignment="1">
      <alignment vertical="center" wrapText="1"/>
    </xf>
    <xf numFmtId="0" fontId="21" fillId="66" borderId="34" xfId="0" applyFont="1" applyFill="1" applyBorder="1" applyAlignment="1">
      <alignment vertical="center" wrapText="1"/>
    </xf>
    <xf numFmtId="0" fontId="21" fillId="67" borderId="37" xfId="0" applyFont="1" applyFill="1" applyBorder="1" applyAlignment="1">
      <alignment horizontal="center" vertical="center" wrapText="1"/>
    </xf>
    <xf numFmtId="0" fontId="22" fillId="67" borderId="11" xfId="0" applyFont="1" applyFill="1" applyBorder="1" applyAlignment="1">
      <alignment horizontal="center" vertical="center" wrapText="1"/>
    </xf>
    <xf numFmtId="0" fontId="22" fillId="67" borderId="11" xfId="7" applyNumberFormat="1" applyFont="1" applyFill="1" applyBorder="1" applyAlignment="1">
      <alignment horizontal="left" vertical="center" wrapText="1"/>
    </xf>
    <xf numFmtId="0" fontId="24" fillId="67" borderId="11" xfId="0" applyFont="1" applyFill="1" applyBorder="1" applyAlignment="1">
      <alignment horizontal="left" vertical="center" wrapText="1"/>
    </xf>
    <xf numFmtId="0" fontId="24" fillId="67" borderId="11" xfId="0" applyFont="1" applyFill="1" applyBorder="1" applyAlignment="1">
      <alignment horizontal="center" vertical="center" wrapText="1"/>
    </xf>
    <xf numFmtId="0" fontId="22" fillId="67" borderId="26" xfId="0" applyFont="1" applyFill="1" applyBorder="1" applyAlignment="1">
      <alignment horizontal="center" vertical="center" wrapText="1"/>
    </xf>
    <xf numFmtId="0" fontId="22" fillId="67" borderId="36" xfId="0" applyFont="1" applyFill="1" applyBorder="1" applyAlignment="1">
      <alignment horizontal="center" vertical="center" wrapText="1"/>
    </xf>
    <xf numFmtId="0" fontId="22" fillId="67" borderId="30" xfId="0" applyFont="1" applyFill="1" applyBorder="1" applyAlignment="1">
      <alignment horizontal="center" vertical="center" wrapText="1"/>
    </xf>
    <xf numFmtId="9" fontId="22" fillId="67" borderId="26" xfId="0" applyNumberFormat="1" applyFont="1" applyFill="1" applyBorder="1" applyAlignment="1">
      <alignment horizontal="center" vertical="center" wrapText="1"/>
    </xf>
    <xf numFmtId="9" fontId="22" fillId="67" borderId="36" xfId="0" applyNumberFormat="1" applyFont="1" applyFill="1" applyBorder="1" applyAlignment="1">
      <alignment horizontal="center" vertical="center" wrapText="1"/>
    </xf>
    <xf numFmtId="9" fontId="22" fillId="67" borderId="30" xfId="0" applyNumberFormat="1" applyFont="1" applyFill="1" applyBorder="1" applyAlignment="1">
      <alignment horizontal="center" vertical="center" wrapText="1"/>
    </xf>
    <xf numFmtId="9" fontId="22" fillId="67" borderId="26" xfId="0" applyNumberFormat="1" applyFont="1" applyFill="1" applyBorder="1" applyAlignment="1">
      <alignment vertical="center" wrapText="1"/>
    </xf>
    <xf numFmtId="9" fontId="22" fillId="67" borderId="36" xfId="0" applyNumberFormat="1" applyFont="1" applyFill="1" applyBorder="1" applyAlignment="1">
      <alignment vertical="center" wrapText="1"/>
    </xf>
    <xf numFmtId="9" fontId="22" fillId="67" borderId="30" xfId="0" applyNumberFormat="1" applyFont="1" applyFill="1" applyBorder="1" applyAlignment="1">
      <alignment vertical="center" wrapText="1"/>
    </xf>
    <xf numFmtId="0" fontId="25" fillId="69" borderId="37" xfId="0" applyFont="1" applyFill="1" applyBorder="1" applyAlignment="1">
      <alignment horizontal="center"/>
    </xf>
    <xf numFmtId="0" fontId="6" fillId="5" borderId="9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81" xfId="0" applyFont="1" applyFill="1" applyBorder="1" applyAlignment="1">
      <alignment horizontal="center" vertical="center" wrapText="1"/>
    </xf>
    <xf numFmtId="9" fontId="6" fillId="6" borderId="14" xfId="0" applyNumberFormat="1" applyFont="1" applyFill="1" applyBorder="1" applyAlignment="1">
      <alignment horizontal="center" vertical="center"/>
    </xf>
    <xf numFmtId="9" fontId="6" fillId="6" borderId="15" xfId="0" applyNumberFormat="1" applyFont="1" applyFill="1" applyBorder="1" applyAlignment="1">
      <alignment horizontal="center" vertical="center"/>
    </xf>
    <xf numFmtId="165" fontId="16" fillId="56" borderId="20" xfId="0" applyNumberFormat="1" applyFont="1" applyFill="1" applyBorder="1" applyAlignment="1">
      <alignment horizontal="center" vertical="center"/>
    </xf>
    <xf numFmtId="165" fontId="18" fillId="35" borderId="15" xfId="0" applyNumberFormat="1" applyFont="1" applyFill="1" applyBorder="1"/>
    <xf numFmtId="165" fontId="18" fillId="35" borderId="16" xfId="0" applyNumberFormat="1" applyFont="1" applyFill="1" applyBorder="1"/>
    <xf numFmtId="0" fontId="16" fillId="56" borderId="6" xfId="0" applyFont="1" applyFill="1" applyBorder="1" applyAlignment="1">
      <alignment horizontal="left" vertical="center" wrapText="1"/>
    </xf>
    <xf numFmtId="0" fontId="18" fillId="35" borderId="16" xfId="0" applyFont="1" applyFill="1" applyBorder="1" applyAlignment="1">
      <alignment wrapText="1"/>
    </xf>
    <xf numFmtId="0" fontId="16" fillId="56" borderId="12" xfId="0" applyFont="1" applyFill="1" applyBorder="1" applyAlignment="1">
      <alignment horizontal="center" vertical="center" wrapText="1"/>
    </xf>
    <xf numFmtId="0" fontId="16" fillId="56" borderId="14" xfId="0" applyFont="1" applyFill="1" applyBorder="1" applyAlignment="1">
      <alignment horizontal="center" vertical="center" wrapText="1"/>
    </xf>
    <xf numFmtId="0" fontId="16" fillId="56" borderId="22" xfId="0" applyFont="1" applyFill="1" applyBorder="1" applyAlignment="1">
      <alignment horizontal="center" vertical="center" wrapText="1"/>
    </xf>
    <xf numFmtId="0" fontId="16" fillId="56" borderId="15" xfId="0" applyFont="1" applyFill="1" applyBorder="1" applyAlignment="1">
      <alignment horizontal="center" vertical="center" wrapText="1"/>
    </xf>
    <xf numFmtId="0" fontId="16" fillId="56" borderId="16" xfId="0" applyFont="1" applyFill="1" applyBorder="1" applyAlignment="1">
      <alignment horizontal="center" vertical="center" wrapText="1"/>
    </xf>
    <xf numFmtId="0" fontId="18" fillId="35" borderId="16" xfId="0" applyFont="1" applyFill="1" applyBorder="1"/>
    <xf numFmtId="0" fontId="18" fillId="35" borderId="23" xfId="0" applyFont="1" applyFill="1" applyBorder="1"/>
    <xf numFmtId="0" fontId="16" fillId="56" borderId="37" xfId="0" applyFont="1" applyFill="1" applyBorder="1" applyAlignment="1">
      <alignment horizontal="left" vertical="center"/>
    </xf>
    <xf numFmtId="0" fontId="18" fillId="35" borderId="37" xfId="0" applyFont="1" applyFill="1" applyBorder="1"/>
    <xf numFmtId="0" fontId="7" fillId="56" borderId="12" xfId="0" applyFont="1" applyFill="1" applyBorder="1" applyAlignment="1">
      <alignment horizontal="center" vertical="center" wrapText="1"/>
    </xf>
    <xf numFmtId="0" fontId="18" fillId="35" borderId="14" xfId="0" applyFont="1" applyFill="1" applyBorder="1" applyAlignment="1">
      <alignment wrapText="1"/>
    </xf>
    <xf numFmtId="165" fontId="16" fillId="56" borderId="6" xfId="0" applyNumberFormat="1" applyFont="1" applyFill="1" applyBorder="1" applyAlignment="1">
      <alignment horizontal="center" vertical="center"/>
    </xf>
    <xf numFmtId="165" fontId="16" fillId="110" borderId="6" xfId="0" applyNumberFormat="1" applyFont="1" applyFill="1" applyBorder="1" applyAlignment="1">
      <alignment horizontal="center" vertical="center"/>
    </xf>
    <xf numFmtId="0" fontId="7" fillId="56" borderId="37" xfId="0" applyFont="1" applyFill="1" applyBorder="1" applyAlignment="1">
      <alignment horizontal="center" vertical="center" wrapText="1"/>
    </xf>
    <xf numFmtId="0" fontId="18" fillId="35" borderId="37" xfId="0" applyFont="1" applyFill="1" applyBorder="1" applyAlignment="1">
      <alignment horizontal="center" wrapText="1"/>
    </xf>
    <xf numFmtId="0" fontId="6" fillId="56" borderId="46" xfId="0" applyFont="1" applyFill="1" applyBorder="1" applyAlignment="1">
      <alignment horizontal="center" vertical="center" wrapText="1"/>
    </xf>
    <xf numFmtId="0" fontId="6" fillId="56" borderId="14" xfId="0" applyFont="1" applyFill="1" applyBorder="1" applyAlignment="1">
      <alignment horizontal="center" vertical="center" wrapText="1"/>
    </xf>
    <xf numFmtId="0" fontId="6" fillId="56" borderId="22" xfId="0" applyFont="1" applyFill="1" applyBorder="1" applyAlignment="1">
      <alignment horizontal="center" vertical="center" wrapText="1"/>
    </xf>
    <xf numFmtId="0" fontId="6" fillId="56" borderId="20" xfId="0" applyFont="1" applyFill="1" applyBorder="1" applyAlignment="1">
      <alignment horizontal="center" vertical="center" wrapText="1"/>
    </xf>
    <xf numFmtId="0" fontId="6" fillId="56" borderId="15" xfId="0" applyFont="1" applyFill="1" applyBorder="1" applyAlignment="1">
      <alignment horizontal="center" vertical="center" wrapText="1"/>
    </xf>
    <xf numFmtId="0" fontId="6" fillId="56" borderId="16" xfId="0" applyFont="1" applyFill="1" applyBorder="1" applyAlignment="1">
      <alignment horizontal="center" vertical="center" wrapText="1"/>
    </xf>
    <xf numFmtId="0" fontId="7" fillId="56" borderId="6" xfId="0" applyFont="1" applyFill="1" applyBorder="1" applyAlignment="1">
      <alignment horizontal="left" vertical="center" wrapText="1"/>
    </xf>
    <xf numFmtId="165" fontId="16" fillId="110" borderId="20" xfId="0" applyNumberFormat="1" applyFont="1" applyFill="1" applyBorder="1" applyAlignment="1">
      <alignment horizontal="center" vertical="center"/>
    </xf>
    <xf numFmtId="165" fontId="18" fillId="15" borderId="15" xfId="0" applyNumberFormat="1" applyFont="1" applyFill="1" applyBorder="1"/>
    <xf numFmtId="165" fontId="18" fillId="15" borderId="16" xfId="0" applyNumberFormat="1" applyFont="1" applyFill="1" applyBorder="1"/>
    <xf numFmtId="165" fontId="16" fillId="95" borderId="6" xfId="0" applyNumberFormat="1" applyFont="1" applyFill="1" applyBorder="1" applyAlignment="1">
      <alignment horizontal="center" vertical="center"/>
    </xf>
    <xf numFmtId="0" fontId="18" fillId="29" borderId="18" xfId="0" applyFont="1" applyFill="1" applyBorder="1"/>
    <xf numFmtId="0" fontId="7" fillId="56" borderId="88" xfId="0" applyFont="1" applyFill="1" applyBorder="1" applyAlignment="1">
      <alignment horizontal="left" vertical="center" wrapText="1"/>
    </xf>
    <xf numFmtId="0" fontId="18" fillId="35" borderId="0" xfId="0" applyFont="1" applyFill="1" applyBorder="1" applyAlignment="1">
      <alignment wrapText="1"/>
    </xf>
    <xf numFmtId="0" fontId="18" fillId="35" borderId="81" xfId="0" applyFont="1" applyFill="1" applyBorder="1" applyAlignment="1">
      <alignment wrapText="1"/>
    </xf>
    <xf numFmtId="0" fontId="18" fillId="35" borderId="15" xfId="0" applyFont="1" applyFill="1" applyBorder="1" applyAlignment="1">
      <alignment horizontal="left" wrapText="1"/>
    </xf>
    <xf numFmtId="0" fontId="18" fillId="35" borderId="16" xfId="0" applyFont="1" applyFill="1" applyBorder="1" applyAlignment="1">
      <alignment horizontal="left" wrapText="1"/>
    </xf>
    <xf numFmtId="0" fontId="16" fillId="56" borderId="7" xfId="0" applyFont="1" applyFill="1" applyBorder="1" applyAlignment="1">
      <alignment horizontal="left" vertical="center" wrapText="1"/>
    </xf>
    <xf numFmtId="0" fontId="18" fillId="35" borderId="17" xfId="0" applyFont="1" applyFill="1" applyBorder="1" applyAlignment="1">
      <alignment wrapText="1"/>
    </xf>
    <xf numFmtId="165" fontId="16" fillId="56" borderId="7" xfId="0" applyNumberFormat="1" applyFont="1" applyFill="1" applyBorder="1" applyAlignment="1">
      <alignment horizontal="center" vertical="center"/>
    </xf>
    <xf numFmtId="165" fontId="16" fillId="110" borderId="7" xfId="0" applyNumberFormat="1" applyFont="1" applyFill="1" applyBorder="1" applyAlignment="1">
      <alignment horizontal="center" vertical="center"/>
    </xf>
    <xf numFmtId="0" fontId="18" fillId="15" borderId="17" xfId="0" applyFont="1" applyFill="1" applyBorder="1"/>
    <xf numFmtId="9" fontId="16" fillId="56" borderId="11" xfId="0" applyNumberFormat="1" applyFont="1" applyFill="1" applyBorder="1" applyAlignment="1">
      <alignment horizontal="center" vertical="center"/>
    </xf>
    <xf numFmtId="0" fontId="18" fillId="35" borderId="11" xfId="0" applyFont="1" applyFill="1" applyBorder="1"/>
    <xf numFmtId="0" fontId="8" fillId="93" borderId="6" xfId="0" applyFont="1" applyFill="1" applyBorder="1" applyAlignment="1">
      <alignment horizontal="left" vertical="center" wrapText="1"/>
    </xf>
    <xf numFmtId="0" fontId="6" fillId="13" borderId="15" xfId="0" applyFont="1" applyFill="1" applyBorder="1" applyAlignment="1">
      <alignment wrapText="1"/>
    </xf>
    <xf numFmtId="0" fontId="6" fillId="13" borderId="16" xfId="0" applyFont="1" applyFill="1" applyBorder="1" applyAlignment="1">
      <alignment wrapText="1"/>
    </xf>
    <xf numFmtId="0" fontId="6" fillId="13" borderId="15" xfId="0" applyFont="1" applyFill="1" applyBorder="1" applyAlignment="1">
      <alignment horizontal="left" wrapText="1"/>
    </xf>
    <xf numFmtId="0" fontId="6" fillId="13" borderId="16" xfId="0" applyFont="1" applyFill="1" applyBorder="1" applyAlignment="1">
      <alignment horizontal="left" wrapText="1"/>
    </xf>
    <xf numFmtId="0" fontId="8" fillId="93" borderId="6" xfId="0" applyFont="1" applyFill="1" applyBorder="1" applyAlignment="1">
      <alignment horizontal="center" vertical="center" wrapText="1"/>
    </xf>
    <xf numFmtId="0" fontId="6" fillId="13" borderId="15" xfId="0" applyFont="1" applyFill="1" applyBorder="1" applyAlignment="1">
      <alignment horizontal="center" wrapText="1"/>
    </xf>
    <xf numFmtId="0" fontId="6" fillId="13" borderId="16" xfId="0" applyFont="1" applyFill="1" applyBorder="1" applyAlignment="1">
      <alignment horizontal="center" wrapText="1"/>
    </xf>
    <xf numFmtId="0" fontId="8" fillId="93" borderId="7" xfId="0" applyFont="1" applyFill="1" applyBorder="1" applyAlignment="1">
      <alignment horizontal="center" vertical="center"/>
    </xf>
    <xf numFmtId="0" fontId="6" fillId="13" borderId="17" xfId="0" applyFont="1" applyFill="1" applyBorder="1" applyAlignment="1">
      <alignment horizontal="center"/>
    </xf>
    <xf numFmtId="0" fontId="6" fillId="13" borderId="23" xfId="0" applyFont="1" applyFill="1" applyBorder="1" applyAlignment="1">
      <alignment horizontal="center"/>
    </xf>
    <xf numFmtId="0" fontId="8" fillId="93" borderId="11" xfId="0" applyFont="1" applyFill="1" applyBorder="1" applyAlignment="1">
      <alignment horizontal="center" vertical="center" wrapText="1"/>
    </xf>
    <xf numFmtId="0" fontId="8" fillId="13" borderId="11" xfId="0" applyFont="1" applyFill="1" applyBorder="1" applyAlignment="1">
      <alignment wrapText="1"/>
    </xf>
    <xf numFmtId="0" fontId="8" fillId="93" borderId="12" xfId="0" applyFont="1" applyFill="1" applyBorder="1" applyAlignment="1">
      <alignment horizontal="left" vertical="center" wrapText="1"/>
    </xf>
    <xf numFmtId="0" fontId="6" fillId="13" borderId="14" xfId="0" applyFont="1" applyFill="1" applyBorder="1" applyAlignment="1">
      <alignment wrapText="1"/>
    </xf>
    <xf numFmtId="0" fontId="6" fillId="13" borderId="49" xfId="0" applyFont="1" applyFill="1" applyBorder="1" applyAlignment="1">
      <alignment wrapText="1"/>
    </xf>
    <xf numFmtId="172" fontId="16" fillId="96" borderId="6" xfId="0" applyNumberFormat="1" applyFont="1" applyFill="1" applyBorder="1" applyAlignment="1">
      <alignment horizontal="center"/>
    </xf>
    <xf numFmtId="0" fontId="18" fillId="24" borderId="16" xfId="0" applyFont="1" applyFill="1" applyBorder="1"/>
    <xf numFmtId="9" fontId="16" fillId="96" borderId="6" xfId="0" applyNumberFormat="1" applyFont="1" applyFill="1" applyBorder="1" applyAlignment="1">
      <alignment horizontal="center" vertical="center"/>
    </xf>
    <xf numFmtId="0" fontId="8" fillId="96" borderId="6" xfId="0" applyFont="1" applyFill="1" applyBorder="1" applyAlignment="1">
      <alignment horizontal="center" vertical="center" wrapText="1"/>
    </xf>
    <xf numFmtId="0" fontId="26" fillId="24" borderId="15" xfId="0" applyFont="1" applyFill="1" applyBorder="1" applyAlignment="1">
      <alignment wrapText="1"/>
    </xf>
    <xf numFmtId="0" fontId="26" fillId="24" borderId="16" xfId="0" applyFont="1" applyFill="1" applyBorder="1" applyAlignment="1">
      <alignment wrapText="1"/>
    </xf>
    <xf numFmtId="9" fontId="8" fillId="96" borderId="6" xfId="0" applyNumberFormat="1" applyFont="1" applyFill="1" applyBorder="1" applyAlignment="1">
      <alignment horizontal="center" vertical="center"/>
    </xf>
    <xf numFmtId="0" fontId="26" fillId="24" borderId="15" xfId="0" applyFont="1" applyFill="1" applyBorder="1"/>
    <xf numFmtId="0" fontId="26" fillId="24" borderId="16" xfId="0" applyFont="1" applyFill="1" applyBorder="1"/>
    <xf numFmtId="0" fontId="18" fillId="24" borderId="15" xfId="0" applyFont="1" applyFill="1" applyBorder="1"/>
    <xf numFmtId="0" fontId="7" fillId="96" borderId="7" xfId="0" applyFont="1" applyFill="1" applyBorder="1" applyAlignment="1">
      <alignment horizontal="center" vertical="center" wrapText="1"/>
    </xf>
    <xf numFmtId="0" fontId="18" fillId="24" borderId="17" xfId="0" applyFont="1" applyFill="1" applyBorder="1"/>
    <xf numFmtId="165" fontId="16" fillId="96" borderId="17" xfId="0" applyNumberFormat="1" applyFont="1" applyFill="1" applyBorder="1" applyAlignment="1">
      <alignment horizontal="center" vertical="center"/>
    </xf>
    <xf numFmtId="165" fontId="16" fillId="114" borderId="17" xfId="0" applyNumberFormat="1" applyFont="1" applyFill="1" applyBorder="1" applyAlignment="1">
      <alignment horizontal="center" vertical="center"/>
    </xf>
    <xf numFmtId="9" fontId="16" fillId="52" borderId="6" xfId="0" applyNumberFormat="1" applyFont="1" applyFill="1" applyBorder="1" applyAlignment="1">
      <alignment horizontal="center" vertical="center"/>
    </xf>
    <xf numFmtId="0" fontId="18" fillId="0" borderId="16" xfId="0" applyFont="1" applyBorder="1"/>
    <xf numFmtId="0" fontId="6" fillId="11" borderId="82" xfId="0" applyFont="1" applyFill="1" applyBorder="1" applyAlignment="1">
      <alignment vertical="center" wrapText="1"/>
    </xf>
    <xf numFmtId="0" fontId="6" fillId="11" borderId="72" xfId="0" applyFont="1" applyFill="1" applyBorder="1" applyAlignment="1">
      <alignment vertical="center" wrapText="1"/>
    </xf>
    <xf numFmtId="0" fontId="6" fillId="11" borderId="83" xfId="0" applyFont="1" applyFill="1" applyBorder="1" applyAlignment="1">
      <alignment vertical="center" wrapText="1"/>
    </xf>
    <xf numFmtId="0" fontId="18" fillId="11" borderId="17" xfId="0" applyFont="1" applyFill="1" applyBorder="1" applyAlignment="1">
      <alignment wrapText="1"/>
    </xf>
    <xf numFmtId="0" fontId="18" fillId="11" borderId="4" xfId="0" applyFont="1" applyFill="1" applyBorder="1" applyAlignment="1">
      <alignment wrapText="1"/>
    </xf>
    <xf numFmtId="0" fontId="16" fillId="95" borderId="46" xfId="0" applyFont="1" applyFill="1" applyBorder="1" applyAlignment="1">
      <alignment horizontal="center" vertical="center" wrapText="1"/>
    </xf>
    <xf numFmtId="0" fontId="18" fillId="29" borderId="14" xfId="0" applyFont="1" applyFill="1" applyBorder="1" applyAlignment="1">
      <alignment wrapText="1"/>
    </xf>
    <xf numFmtId="0" fontId="18" fillId="29" borderId="22" xfId="0" applyFont="1" applyFill="1" applyBorder="1" applyAlignment="1">
      <alignment wrapText="1"/>
    </xf>
    <xf numFmtId="0" fontId="7" fillId="95" borderId="20" xfId="0" applyFont="1" applyFill="1" applyBorder="1" applyAlignment="1">
      <alignment horizontal="center" vertical="center" wrapText="1"/>
    </xf>
    <xf numFmtId="0" fontId="18" fillId="29" borderId="15" xfId="0" applyFont="1" applyFill="1" applyBorder="1" applyAlignment="1">
      <alignment wrapText="1"/>
    </xf>
    <xf numFmtId="0" fontId="18" fillId="29" borderId="16" xfId="0" applyFont="1" applyFill="1" applyBorder="1" applyAlignment="1">
      <alignment wrapText="1"/>
    </xf>
    <xf numFmtId="0" fontId="8" fillId="95" borderId="20" xfId="0" applyFont="1" applyFill="1" applyBorder="1" applyAlignment="1">
      <alignment horizontal="center" vertical="center" wrapText="1"/>
    </xf>
    <xf numFmtId="0" fontId="26" fillId="29" borderId="15" xfId="0" applyFont="1" applyFill="1" applyBorder="1" applyAlignment="1">
      <alignment wrapText="1"/>
    </xf>
    <xf numFmtId="0" fontId="26" fillId="29" borderId="16" xfId="0" applyFont="1" applyFill="1" applyBorder="1" applyAlignment="1">
      <alignment wrapText="1"/>
    </xf>
    <xf numFmtId="0" fontId="16" fillId="95" borderId="20" xfId="0" applyFont="1" applyFill="1" applyBorder="1" applyAlignment="1">
      <alignment horizontal="center" vertical="center"/>
    </xf>
    <xf numFmtId="9" fontId="16" fillId="95" borderId="20" xfId="0" applyNumberFormat="1" applyFont="1" applyFill="1" applyBorder="1" applyAlignment="1">
      <alignment horizontal="center" vertical="center"/>
    </xf>
    <xf numFmtId="0" fontId="7" fillId="95" borderId="17" xfId="0" applyFont="1" applyFill="1" applyBorder="1" applyAlignment="1">
      <alignment horizontal="left" vertical="center" wrapText="1"/>
    </xf>
    <xf numFmtId="0" fontId="18" fillId="29" borderId="17" xfId="0" applyFont="1" applyFill="1" applyBorder="1" applyAlignment="1">
      <alignment horizontal="left"/>
    </xf>
    <xf numFmtId="0" fontId="18" fillId="29" borderId="23" xfId="0" applyFont="1" applyFill="1" applyBorder="1" applyAlignment="1">
      <alignment horizontal="left"/>
    </xf>
    <xf numFmtId="165" fontId="16" fillId="95" borderId="20" xfId="0" applyNumberFormat="1" applyFont="1" applyFill="1" applyBorder="1" applyAlignment="1">
      <alignment horizontal="center" vertical="center"/>
    </xf>
    <xf numFmtId="165" fontId="16" fillId="114" borderId="20" xfId="0" applyNumberFormat="1" applyFont="1" applyFill="1" applyBorder="1" applyAlignment="1">
      <alignment horizontal="center" vertical="center"/>
    </xf>
    <xf numFmtId="0" fontId="7" fillId="95" borderId="6" xfId="0" applyFont="1" applyFill="1" applyBorder="1" applyAlignment="1">
      <alignment vertical="center" wrapText="1"/>
    </xf>
    <xf numFmtId="0" fontId="7" fillId="95" borderId="6" xfId="0" applyFont="1" applyFill="1" applyBorder="1" applyAlignment="1">
      <alignment horizontal="center" vertical="center" wrapText="1"/>
    </xf>
    <xf numFmtId="0" fontId="18" fillId="29" borderId="15" xfId="0" applyFont="1" applyFill="1" applyBorder="1" applyAlignment="1">
      <alignment horizontal="center" wrapText="1"/>
    </xf>
    <xf numFmtId="0" fontId="18" fillId="29" borderId="16" xfId="0" applyFont="1" applyFill="1" applyBorder="1" applyAlignment="1">
      <alignment horizontal="center" wrapText="1"/>
    </xf>
    <xf numFmtId="0" fontId="16" fillId="95" borderId="6" xfId="0" applyFont="1" applyFill="1" applyBorder="1" applyAlignment="1">
      <alignment horizontal="center" vertical="center"/>
    </xf>
    <xf numFmtId="9" fontId="16" fillId="95" borderId="7" xfId="0" applyNumberFormat="1" applyFont="1" applyFill="1" applyBorder="1" applyAlignment="1">
      <alignment horizontal="center" vertical="center"/>
    </xf>
    <xf numFmtId="0" fontId="16" fillId="95" borderId="7" xfId="0" applyFont="1" applyFill="1" applyBorder="1" applyAlignment="1">
      <alignment horizontal="center" vertical="center" wrapText="1"/>
    </xf>
    <xf numFmtId="0" fontId="7" fillId="95" borderId="12" xfId="0" applyFont="1" applyFill="1" applyBorder="1" applyAlignment="1">
      <alignment horizontal="left" vertical="center" wrapText="1"/>
    </xf>
    <xf numFmtId="0" fontId="18" fillId="29" borderId="49" xfId="0" applyFont="1" applyFill="1" applyBorder="1" applyAlignment="1">
      <alignment wrapText="1"/>
    </xf>
    <xf numFmtId="0" fontId="20" fillId="0" borderId="40"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1" fillId="0" borderId="73" xfId="0" applyFont="1" applyFill="1" applyBorder="1" applyAlignment="1">
      <alignment vertical="center" wrapText="1"/>
    </xf>
    <xf numFmtId="0" fontId="21" fillId="0" borderId="72" xfId="0" applyFont="1" applyFill="1" applyBorder="1" applyAlignment="1">
      <alignment vertical="center" wrapText="1"/>
    </xf>
    <xf numFmtId="0" fontId="21" fillId="0" borderId="74" xfId="0" applyFont="1" applyFill="1" applyBorder="1" applyAlignment="1">
      <alignment vertical="center" wrapText="1"/>
    </xf>
    <xf numFmtId="0" fontId="6" fillId="77" borderId="1" xfId="0" applyFont="1" applyFill="1" applyBorder="1" applyAlignment="1">
      <alignment vertical="center" wrapText="1"/>
    </xf>
    <xf numFmtId="0" fontId="6" fillId="11" borderId="1" xfId="0" applyFont="1" applyFill="1" applyBorder="1" applyAlignment="1">
      <alignment wrapText="1"/>
    </xf>
    <xf numFmtId="0" fontId="6" fillId="98" borderId="3" xfId="0" applyFont="1" applyFill="1" applyBorder="1" applyAlignment="1">
      <alignment horizontal="left" vertical="center" wrapText="1"/>
    </xf>
    <xf numFmtId="0" fontId="6" fillId="41" borderId="3" xfId="0" applyFont="1" applyFill="1" applyBorder="1" applyAlignment="1">
      <alignment horizontal="left" wrapText="1"/>
    </xf>
    <xf numFmtId="0" fontId="14" fillId="98" borderId="13" xfId="0" applyFont="1" applyFill="1" applyBorder="1" applyAlignment="1">
      <alignment horizontal="left" vertical="center" wrapText="1"/>
    </xf>
    <xf numFmtId="0" fontId="8" fillId="41" borderId="13" xfId="0" applyFont="1" applyFill="1" applyBorder="1" applyAlignment="1">
      <alignment horizontal="left" wrapText="1"/>
    </xf>
    <xf numFmtId="0" fontId="6" fillId="98" borderId="13" xfId="0" applyFont="1" applyFill="1" applyBorder="1" applyAlignment="1">
      <alignment horizontal="left" vertical="center" wrapText="1"/>
    </xf>
    <xf numFmtId="0" fontId="6" fillId="98" borderId="13" xfId="0" applyFont="1" applyFill="1" applyBorder="1" applyAlignment="1">
      <alignment horizontal="center" vertical="center" wrapText="1"/>
    </xf>
    <xf numFmtId="9" fontId="6" fillId="98" borderId="13" xfId="0" applyNumberFormat="1" applyFont="1" applyFill="1" applyBorder="1" applyAlignment="1">
      <alignment horizontal="center" vertical="center"/>
    </xf>
    <xf numFmtId="9" fontId="14" fillId="98" borderId="13" xfId="0" applyNumberFormat="1" applyFont="1" applyFill="1" applyBorder="1" applyAlignment="1">
      <alignment horizontal="left" vertical="center" wrapText="1"/>
    </xf>
    <xf numFmtId="0" fontId="14" fillId="41" borderId="13" xfId="0" applyFont="1" applyFill="1" applyBorder="1" applyAlignment="1">
      <alignment horizontal="left" wrapText="1"/>
    </xf>
    <xf numFmtId="0" fontId="7" fillId="96" borderId="12" xfId="0" applyFont="1" applyFill="1" applyBorder="1" applyAlignment="1">
      <alignment horizontal="left" vertical="center" wrapText="1"/>
    </xf>
    <xf numFmtId="0" fontId="18" fillId="24" borderId="14" xfId="0" applyFont="1" applyFill="1" applyBorder="1" applyAlignment="1">
      <alignment wrapText="1"/>
    </xf>
    <xf numFmtId="0" fontId="7" fillId="96" borderId="15" xfId="0" applyFont="1" applyFill="1" applyBorder="1" applyAlignment="1">
      <alignment horizontal="center" vertical="center"/>
    </xf>
    <xf numFmtId="0" fontId="17" fillId="96" borderId="6" xfId="0" applyFont="1" applyFill="1" applyBorder="1" applyAlignment="1">
      <alignment horizontal="center" vertical="center"/>
    </xf>
    <xf numFmtId="0" fontId="6" fillId="96" borderId="7" xfId="0" applyFont="1" applyFill="1" applyBorder="1" applyAlignment="1">
      <alignment horizontal="center" vertical="center"/>
    </xf>
    <xf numFmtId="0" fontId="20" fillId="24" borderId="17" xfId="0" applyFont="1" applyFill="1" applyBorder="1"/>
    <xf numFmtId="0" fontId="16" fillId="96" borderId="11" xfId="0" applyFont="1" applyFill="1" applyBorder="1" applyAlignment="1">
      <alignment horizontal="left" vertical="center" wrapText="1"/>
    </xf>
    <xf numFmtId="0" fontId="18" fillId="24" borderId="11" xfId="0" applyFont="1" applyFill="1" applyBorder="1" applyAlignment="1">
      <alignment horizontal="left"/>
    </xf>
    <xf numFmtId="165" fontId="16" fillId="96" borderId="11" xfId="0" applyNumberFormat="1" applyFont="1" applyFill="1" applyBorder="1" applyAlignment="1">
      <alignment horizontal="center" vertical="center"/>
    </xf>
    <xf numFmtId="0" fontId="18" fillId="24" borderId="11" xfId="0" applyFont="1" applyFill="1" applyBorder="1"/>
    <xf numFmtId="165" fontId="16" fillId="114" borderId="11" xfId="0" applyNumberFormat="1" applyFont="1" applyFill="1" applyBorder="1" applyAlignment="1">
      <alignment horizontal="center" vertical="center"/>
    </xf>
    <xf numFmtId="0" fontId="18" fillId="15" borderId="11" xfId="0" applyFont="1" applyFill="1" applyBorder="1"/>
    <xf numFmtId="0" fontId="6" fillId="96" borderId="12" xfId="0" applyFont="1" applyFill="1" applyBorder="1" applyAlignment="1">
      <alignment horizontal="left" vertical="center"/>
    </xf>
    <xf numFmtId="0" fontId="20" fillId="24" borderId="14" xfId="0" applyFont="1" applyFill="1" applyBorder="1"/>
    <xf numFmtId="0" fontId="20" fillId="24" borderId="22" xfId="0" applyFont="1" applyFill="1" applyBorder="1"/>
    <xf numFmtId="0" fontId="7" fillId="96" borderId="6" xfId="0" applyFont="1" applyFill="1" applyBorder="1" applyAlignment="1">
      <alignment horizontal="center" vertical="center" wrapText="1"/>
    </xf>
    <xf numFmtId="0" fontId="18" fillId="24" borderId="17" xfId="0" applyFont="1" applyFill="1" applyBorder="1" applyAlignment="1">
      <alignment wrapText="1"/>
    </xf>
    <xf numFmtId="0" fontId="18" fillId="24" borderId="23" xfId="0" applyFont="1" applyFill="1" applyBorder="1" applyAlignment="1">
      <alignment wrapText="1"/>
    </xf>
    <xf numFmtId="1" fontId="16" fillId="95" borderId="6" xfId="0" applyNumberFormat="1" applyFont="1" applyFill="1" applyBorder="1" applyAlignment="1">
      <alignment horizontal="center" vertical="center"/>
    </xf>
    <xf numFmtId="0" fontId="16" fillId="95" borderId="17"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37" fillId="59" borderId="37" xfId="0" applyFont="1" applyFill="1" applyBorder="1" applyAlignment="1">
      <alignment horizontal="left" vertical="center" wrapText="1"/>
    </xf>
    <xf numFmtId="0" fontId="37" fillId="59" borderId="11" xfId="0" applyFont="1" applyFill="1" applyBorder="1" applyAlignment="1">
      <alignment horizontal="center" vertical="center" wrapText="1"/>
    </xf>
    <xf numFmtId="167" fontId="37" fillId="59" borderId="11" xfId="0" applyNumberFormat="1" applyFont="1" applyFill="1" applyBorder="1" applyAlignment="1">
      <alignment horizontal="center" vertical="center" wrapText="1"/>
    </xf>
    <xf numFmtId="9" fontId="37" fillId="59" borderId="11" xfId="0" applyNumberFormat="1" applyFont="1" applyFill="1" applyBorder="1" applyAlignment="1">
      <alignment horizontal="center" vertical="center" wrapText="1"/>
    </xf>
    <xf numFmtId="0" fontId="40" fillId="59" borderId="11" xfId="0" applyFont="1" applyFill="1" applyBorder="1" applyAlignment="1">
      <alignment horizontal="left" vertical="center" wrapText="1"/>
    </xf>
    <xf numFmtId="41" fontId="22" fillId="59" borderId="26" xfId="0" applyNumberFormat="1" applyFont="1" applyFill="1" applyBorder="1" applyAlignment="1">
      <alignment horizontal="center" vertical="center"/>
    </xf>
    <xf numFmtId="0" fontId="22" fillId="59" borderId="36" xfId="0" applyFont="1" applyFill="1" applyBorder="1" applyAlignment="1">
      <alignment horizontal="center" vertical="center"/>
    </xf>
    <xf numFmtId="0" fontId="22" fillId="59" borderId="30" xfId="0" applyFont="1" applyFill="1" applyBorder="1" applyAlignment="1">
      <alignment horizontal="center" vertical="center"/>
    </xf>
    <xf numFmtId="41" fontId="22" fillId="15" borderId="26" xfId="0" applyNumberFormat="1" applyFont="1" applyFill="1" applyBorder="1" applyAlignment="1">
      <alignment horizontal="center" vertical="center"/>
    </xf>
    <xf numFmtId="0" fontId="22" fillId="15" borderId="36" xfId="0" applyFont="1" applyFill="1" applyBorder="1" applyAlignment="1">
      <alignment horizontal="center" vertical="center"/>
    </xf>
    <xf numFmtId="0" fontId="22" fillId="15" borderId="30" xfId="0" applyFont="1" applyFill="1" applyBorder="1" applyAlignment="1">
      <alignment horizontal="center" vertical="center"/>
    </xf>
    <xf numFmtId="0" fontId="29" fillId="11" borderId="73" xfId="0" applyFont="1" applyFill="1" applyBorder="1" applyAlignment="1">
      <alignment vertical="center" wrapText="1"/>
    </xf>
    <xf numFmtId="0" fontId="29" fillId="11" borderId="72" xfId="0" applyFont="1" applyFill="1" applyBorder="1" applyAlignment="1">
      <alignment vertical="center" wrapText="1"/>
    </xf>
    <xf numFmtId="0" fontId="29" fillId="11" borderId="74" xfId="0" applyFont="1" applyFill="1" applyBorder="1" applyAlignment="1">
      <alignment vertical="center" wrapText="1"/>
    </xf>
    <xf numFmtId="0" fontId="8" fillId="41" borderId="11" xfId="0" applyFont="1" applyFill="1" applyBorder="1" applyAlignment="1">
      <alignment horizontal="center" vertical="center" wrapText="1"/>
    </xf>
    <xf numFmtId="0" fontId="8" fillId="41" borderId="11" xfId="0" applyFont="1" applyFill="1" applyBorder="1" applyAlignment="1">
      <alignment horizontal="left" vertical="center" wrapText="1"/>
    </xf>
    <xf numFmtId="0" fontId="22" fillId="41" borderId="11" xfId="0" applyFont="1" applyFill="1" applyBorder="1" applyAlignment="1">
      <alignment horizontal="center" vertical="center" wrapText="1"/>
    </xf>
    <xf numFmtId="0" fontId="22" fillId="41" borderId="11" xfId="0" applyFont="1" applyFill="1" applyBorder="1" applyAlignment="1">
      <alignment horizontal="center" vertical="center"/>
    </xf>
    <xf numFmtId="41" fontId="22" fillId="41" borderId="11" xfId="2" applyFont="1" applyFill="1" applyBorder="1" applyAlignment="1">
      <alignment horizontal="center" vertical="center"/>
    </xf>
    <xf numFmtId="0" fontId="8" fillId="59" borderId="11" xfId="0" applyFont="1" applyFill="1" applyBorder="1" applyAlignment="1">
      <alignment horizontal="center" vertical="center" wrapText="1"/>
    </xf>
    <xf numFmtId="1" fontId="8" fillId="59" borderId="11" xfId="0" applyNumberFormat="1" applyFont="1" applyFill="1" applyBorder="1" applyAlignment="1">
      <alignment horizontal="center" vertical="center" wrapText="1"/>
    </xf>
    <xf numFmtId="0" fontId="8" fillId="41" borderId="57" xfId="0" applyFont="1" applyFill="1" applyBorder="1" applyAlignment="1">
      <alignment horizontal="left" vertical="center" wrapText="1"/>
    </xf>
    <xf numFmtId="0" fontId="8" fillId="41" borderId="91" xfId="0" applyFont="1" applyFill="1" applyBorder="1" applyAlignment="1">
      <alignment horizontal="left" vertical="center" wrapText="1"/>
    </xf>
    <xf numFmtId="166" fontId="22" fillId="41" borderId="26" xfId="0" applyNumberFormat="1" applyFont="1" applyFill="1" applyBorder="1" applyAlignment="1">
      <alignment horizontal="center" vertical="center"/>
    </xf>
    <xf numFmtId="0" fontId="22" fillId="41" borderId="36" xfId="0" applyFont="1" applyFill="1" applyBorder="1" applyAlignment="1">
      <alignment horizontal="center" vertical="center"/>
    </xf>
    <xf numFmtId="0" fontId="37" fillId="41" borderId="11" xfId="0" applyFont="1" applyFill="1" applyBorder="1" applyAlignment="1">
      <alignment horizontal="left" vertical="center" wrapText="1"/>
    </xf>
    <xf numFmtId="0" fontId="37" fillId="41" borderId="11" xfId="0" applyFont="1" applyFill="1" applyBorder="1" applyAlignment="1">
      <alignment horizontal="left"/>
    </xf>
    <xf numFmtId="168" fontId="22" fillId="68" borderId="26" xfId="1" applyNumberFormat="1" applyFont="1" applyFill="1" applyBorder="1" applyAlignment="1">
      <alignment horizontal="center" vertical="center" wrapText="1"/>
    </xf>
    <xf numFmtId="168" fontId="22" fillId="68" borderId="36" xfId="1" applyNumberFormat="1" applyFont="1" applyFill="1" applyBorder="1" applyAlignment="1">
      <alignment horizontal="center" vertical="center" wrapText="1"/>
    </xf>
    <xf numFmtId="168" fontId="22" fillId="68" borderId="30" xfId="1" applyNumberFormat="1" applyFont="1" applyFill="1" applyBorder="1" applyAlignment="1">
      <alignment horizontal="center" vertical="center" wrapText="1"/>
    </xf>
    <xf numFmtId="168" fontId="22" fillId="68" borderId="85" xfId="1" applyNumberFormat="1" applyFont="1" applyFill="1" applyBorder="1" applyAlignment="1">
      <alignment horizontal="center" vertical="center" wrapText="1"/>
    </xf>
    <xf numFmtId="166" fontId="6" fillId="5" borderId="11" xfId="0" applyNumberFormat="1" applyFont="1" applyFill="1" applyBorder="1" applyAlignment="1">
      <alignment horizontal="center" vertical="center"/>
    </xf>
    <xf numFmtId="166" fontId="6" fillId="107" borderId="11" xfId="0" applyNumberFormat="1" applyFont="1" applyFill="1" applyBorder="1" applyAlignment="1">
      <alignment horizontal="center" vertical="center"/>
    </xf>
    <xf numFmtId="0" fontId="16" fillId="96" borderId="15" xfId="0" applyFont="1" applyFill="1" applyBorder="1" applyAlignment="1">
      <alignment horizontal="center" vertical="center"/>
    </xf>
    <xf numFmtId="9" fontId="16" fillId="96" borderId="17" xfId="0" applyNumberFormat="1" applyFont="1" applyFill="1" applyBorder="1" applyAlignment="1">
      <alignment horizontal="center" vertical="center"/>
    </xf>
    <xf numFmtId="0" fontId="18" fillId="24" borderId="23" xfId="0" applyFont="1" applyFill="1" applyBorder="1"/>
    <xf numFmtId="0" fontId="7" fillId="96" borderId="7" xfId="0" applyFont="1" applyFill="1" applyBorder="1" applyAlignment="1">
      <alignment horizontal="left" vertical="center" wrapText="1"/>
    </xf>
    <xf numFmtId="165" fontId="16" fillId="96" borderId="6" xfId="0" applyNumberFormat="1" applyFont="1" applyFill="1" applyBorder="1" applyAlignment="1">
      <alignment horizontal="center" vertical="center"/>
    </xf>
    <xf numFmtId="0" fontId="18" fillId="24" borderId="14" xfId="0" applyFont="1" applyFill="1" applyBorder="1"/>
    <xf numFmtId="165" fontId="16" fillId="114" borderId="6" xfId="0" applyNumberFormat="1" applyFont="1" applyFill="1" applyBorder="1" applyAlignment="1">
      <alignment horizontal="center" vertical="center"/>
    </xf>
    <xf numFmtId="0" fontId="18" fillId="15" borderId="14" xfId="0" applyFont="1" applyFill="1" applyBorder="1"/>
    <xf numFmtId="0" fontId="6" fillId="96" borderId="6" xfId="0" applyFont="1" applyFill="1" applyBorder="1" applyAlignment="1">
      <alignment horizontal="center" vertical="center" wrapText="1"/>
    </xf>
    <xf numFmtId="0" fontId="20" fillId="24" borderId="16" xfId="0" applyFont="1" applyFill="1" applyBorder="1" applyAlignment="1">
      <alignment wrapText="1"/>
    </xf>
    <xf numFmtId="0" fontId="16" fillId="96" borderId="6" xfId="0" applyFont="1" applyFill="1" applyBorder="1" applyAlignment="1">
      <alignment horizontal="center" vertical="center"/>
    </xf>
    <xf numFmtId="0" fontId="16" fillId="96" borderId="7" xfId="0" applyFont="1" applyFill="1" applyBorder="1" applyAlignment="1">
      <alignment horizontal="left" vertical="center" wrapText="1"/>
    </xf>
    <xf numFmtId="165" fontId="0" fillId="120" borderId="6" xfId="0" applyNumberFormat="1" applyFont="1" applyFill="1" applyBorder="1" applyAlignment="1">
      <alignment horizontal="center" vertical="center" wrapText="1"/>
    </xf>
    <xf numFmtId="165" fontId="0" fillId="120" borderId="11" xfId="0" applyNumberFormat="1" applyFont="1" applyFill="1" applyBorder="1" applyAlignment="1">
      <alignment horizontal="center" vertical="center" wrapText="1"/>
    </xf>
    <xf numFmtId="0" fontId="22" fillId="67" borderId="26" xfId="0" applyFont="1" applyFill="1" applyBorder="1" applyAlignment="1">
      <alignment horizontal="left" vertical="center" wrapText="1"/>
    </xf>
    <xf numFmtId="0" fontId="22" fillId="67" borderId="30" xfId="0" applyFont="1" applyFill="1" applyBorder="1" applyAlignment="1">
      <alignment horizontal="left" vertical="center" wrapText="1"/>
    </xf>
    <xf numFmtId="166" fontId="6" fillId="107" borderId="89" xfId="0" applyNumberFormat="1" applyFont="1" applyFill="1" applyBorder="1" applyAlignment="1">
      <alignment horizontal="center" vertical="center"/>
    </xf>
    <xf numFmtId="166" fontId="6" fillId="107" borderId="72" xfId="0" applyNumberFormat="1" applyFont="1" applyFill="1" applyBorder="1" applyAlignment="1">
      <alignment horizontal="center" vertical="center"/>
    </xf>
    <xf numFmtId="166" fontId="6" fillId="107" borderId="74" xfId="0" applyNumberFormat="1" applyFont="1" applyFill="1" applyBorder="1" applyAlignment="1">
      <alignment horizontal="center" vertical="center"/>
    </xf>
    <xf numFmtId="0" fontId="18" fillId="15" borderId="18" xfId="0" applyFont="1" applyFill="1" applyBorder="1"/>
    <xf numFmtId="0" fontId="6" fillId="5" borderId="18" xfId="0" applyFont="1" applyFill="1" applyBorder="1" applyAlignment="1">
      <alignment horizontal="left" vertical="center" wrapText="1"/>
    </xf>
    <xf numFmtId="9" fontId="6" fillId="5" borderId="18" xfId="0" applyNumberFormat="1" applyFont="1" applyFill="1" applyBorder="1" applyAlignment="1">
      <alignment horizontal="center" vertical="center"/>
    </xf>
    <xf numFmtId="9" fontId="6" fillId="5" borderId="78" xfId="0" applyNumberFormat="1" applyFont="1" applyFill="1" applyBorder="1" applyAlignment="1">
      <alignment horizontal="center" vertical="center"/>
    </xf>
    <xf numFmtId="9" fontId="16" fillId="53" borderId="6" xfId="0" applyNumberFormat="1" applyFont="1" applyFill="1" applyBorder="1" applyAlignment="1">
      <alignment horizontal="center" vertical="center"/>
    </xf>
    <xf numFmtId="9" fontId="17" fillId="96" borderId="12" xfId="0" applyNumberFormat="1" applyFont="1" applyFill="1" applyBorder="1" applyAlignment="1">
      <alignment horizontal="center" vertical="center"/>
    </xf>
    <xf numFmtId="0" fontId="18" fillId="24" borderId="22" xfId="0" applyFont="1" applyFill="1" applyBorder="1"/>
    <xf numFmtId="0" fontId="16" fillId="96" borderId="17" xfId="0" applyFont="1" applyFill="1" applyBorder="1" applyAlignment="1">
      <alignment horizontal="left" vertical="center" wrapText="1"/>
    </xf>
    <xf numFmtId="0" fontId="18" fillId="24" borderId="17" xfId="0" applyFont="1" applyFill="1" applyBorder="1" applyAlignment="1">
      <alignment horizontal="left"/>
    </xf>
    <xf numFmtId="0" fontId="18" fillId="24" borderId="23" xfId="0" applyFont="1" applyFill="1" applyBorder="1" applyAlignment="1">
      <alignment horizontal="left"/>
    </xf>
    <xf numFmtId="165" fontId="16" fillId="96" borderId="15" xfId="0" applyNumberFormat="1" applyFont="1" applyFill="1" applyBorder="1" applyAlignment="1">
      <alignment horizontal="center" vertical="center"/>
    </xf>
    <xf numFmtId="172" fontId="16" fillId="96" borderId="6" xfId="0" applyNumberFormat="1" applyFont="1" applyFill="1" applyBorder="1" applyAlignment="1">
      <alignment horizontal="center" vertical="center"/>
    </xf>
    <xf numFmtId="0" fontId="8" fillId="72" borderId="52" xfId="0" applyFont="1" applyFill="1" applyBorder="1" applyAlignment="1">
      <alignment vertical="center" wrapText="1"/>
    </xf>
    <xf numFmtId="165" fontId="8" fillId="33" borderId="20" xfId="0" applyNumberFormat="1" applyFont="1" applyFill="1" applyBorder="1" applyAlignment="1">
      <alignment horizontal="center" vertical="center"/>
    </xf>
    <xf numFmtId="0" fontId="8" fillId="104" borderId="6" xfId="0" applyFont="1" applyFill="1" applyBorder="1" applyAlignment="1">
      <alignment horizontal="left" vertical="center" wrapText="1"/>
    </xf>
    <xf numFmtId="0" fontId="6" fillId="29" borderId="16" xfId="0" applyFont="1" applyFill="1" applyBorder="1" applyAlignment="1">
      <alignment wrapText="1"/>
    </xf>
    <xf numFmtId="0" fontId="7" fillId="104" borderId="6" xfId="0" applyFont="1" applyFill="1" applyBorder="1" applyAlignment="1">
      <alignment horizontal="center" vertical="center" wrapText="1"/>
    </xf>
    <xf numFmtId="0" fontId="7" fillId="104" borderId="6" xfId="0" applyFont="1" applyFill="1" applyBorder="1" applyAlignment="1">
      <alignment horizontal="center" vertical="center"/>
    </xf>
    <xf numFmtId="9" fontId="7" fillId="104" borderId="7" xfId="5" applyFont="1" applyFill="1" applyBorder="1" applyAlignment="1">
      <alignment horizontal="center" vertical="center"/>
    </xf>
    <xf numFmtId="9" fontId="6" fillId="29" borderId="23" xfId="5" applyFont="1" applyFill="1" applyBorder="1" applyAlignment="1">
      <alignment horizontal="center"/>
    </xf>
    <xf numFmtId="0" fontId="6" fillId="29" borderId="96" xfId="0" applyFont="1" applyFill="1" applyBorder="1" applyAlignment="1">
      <alignment horizontal="left" vertical="center"/>
    </xf>
    <xf numFmtId="0" fontId="6" fillId="29" borderId="37" xfId="0" applyFont="1" applyFill="1" applyBorder="1" applyAlignment="1">
      <alignment horizontal="left" vertical="center"/>
    </xf>
    <xf numFmtId="0" fontId="6" fillId="29" borderId="41" xfId="0" applyFont="1" applyFill="1" applyBorder="1" applyAlignment="1">
      <alignment horizontal="left" vertical="center" wrapText="1"/>
    </xf>
    <xf numFmtId="0" fontId="6" fillId="29" borderId="31" xfId="0" applyFont="1" applyFill="1" applyBorder="1" applyAlignment="1">
      <alignment horizontal="left" vertical="center" wrapText="1"/>
    </xf>
    <xf numFmtId="0" fontId="6" fillId="29" borderId="15" xfId="0" applyFont="1" applyFill="1" applyBorder="1" applyAlignment="1">
      <alignment horizontal="left" vertical="center"/>
    </xf>
    <xf numFmtId="9" fontId="6" fillId="29" borderId="15" xfId="5" applyFont="1" applyFill="1" applyBorder="1" applyAlignment="1">
      <alignment horizontal="left" vertical="center"/>
    </xf>
    <xf numFmtId="9" fontId="6" fillId="29" borderId="17" xfId="5" applyFont="1" applyFill="1" applyBorder="1" applyAlignment="1">
      <alignment horizontal="left" vertical="center"/>
    </xf>
    <xf numFmtId="0" fontId="8" fillId="29" borderId="11" xfId="0" applyFont="1" applyFill="1" applyBorder="1" applyAlignment="1">
      <alignment vertical="center" wrapText="1"/>
    </xf>
    <xf numFmtId="0" fontId="8" fillId="104" borderId="14" xfId="0" applyFont="1" applyFill="1" applyBorder="1" applyAlignment="1">
      <alignment horizontal="left" vertical="center"/>
    </xf>
    <xf numFmtId="165" fontId="8" fillId="33" borderId="15" xfId="0" applyNumberFormat="1" applyFont="1" applyFill="1" applyBorder="1" applyAlignment="1">
      <alignment horizontal="center" vertical="center"/>
    </xf>
    <xf numFmtId="165" fontId="6" fillId="34" borderId="18" xfId="0" applyNumberFormat="1" applyFont="1" applyFill="1" applyBorder="1" applyAlignment="1">
      <alignment horizontal="center"/>
    </xf>
    <xf numFmtId="164" fontId="8" fillId="15" borderId="18" xfId="2" applyNumberFormat="1" applyFont="1" applyFill="1" applyBorder="1" applyAlignment="1">
      <alignment horizontal="center" vertical="center"/>
    </xf>
    <xf numFmtId="0" fontId="8" fillId="104" borderId="11" xfId="0" applyFont="1" applyFill="1" applyBorder="1" applyAlignment="1">
      <alignment horizontal="justify" vertical="center" wrapText="1"/>
    </xf>
    <xf numFmtId="0" fontId="8" fillId="29" borderId="11" xfId="0" applyFont="1" applyFill="1" applyBorder="1" applyAlignment="1">
      <alignment horizontal="justify" wrapText="1"/>
    </xf>
    <xf numFmtId="168" fontId="22" fillId="106" borderId="26" xfId="1" applyNumberFormat="1" applyFont="1" applyFill="1" applyBorder="1" applyAlignment="1">
      <alignment horizontal="center" vertical="center" wrapText="1"/>
    </xf>
    <xf numFmtId="168" fontId="22" fillId="106" borderId="36" xfId="1" applyNumberFormat="1" applyFont="1" applyFill="1" applyBorder="1" applyAlignment="1">
      <alignment horizontal="center" vertical="center" wrapText="1"/>
    </xf>
    <xf numFmtId="168" fontId="22" fillId="106" borderId="85" xfId="1" applyNumberFormat="1" applyFont="1" applyFill="1" applyBorder="1" applyAlignment="1">
      <alignment horizontal="center" vertical="center" wrapText="1"/>
    </xf>
    <xf numFmtId="0" fontId="6" fillId="21" borderId="37" xfId="0" applyFont="1" applyFill="1" applyBorder="1" applyAlignment="1">
      <alignment horizontal="center"/>
    </xf>
    <xf numFmtId="165" fontId="16" fillId="114" borderId="15" xfId="0" applyNumberFormat="1" applyFont="1" applyFill="1" applyBorder="1" applyAlignment="1">
      <alignment horizontal="center" vertical="center"/>
    </xf>
    <xf numFmtId="0" fontId="6" fillId="0" borderId="40" xfId="0" applyFont="1" applyBorder="1" applyAlignment="1">
      <alignment vertical="center" wrapText="1"/>
    </xf>
    <xf numFmtId="0" fontId="6" fillId="0" borderId="15" xfId="0" applyFont="1" applyBorder="1" applyAlignment="1">
      <alignment vertical="center" wrapText="1"/>
    </xf>
    <xf numFmtId="0" fontId="6" fillId="0" borderId="33" xfId="0" applyFont="1" applyBorder="1" applyAlignment="1">
      <alignment vertical="center" wrapText="1"/>
    </xf>
    <xf numFmtId="164" fontId="8" fillId="29" borderId="18" xfId="2" applyNumberFormat="1" applyFont="1" applyFill="1" applyBorder="1" applyAlignment="1">
      <alignment horizontal="center" vertical="center"/>
    </xf>
    <xf numFmtId="164" fontId="8" fillId="34" borderId="40" xfId="2" applyNumberFormat="1" applyFont="1" applyFill="1" applyBorder="1" applyAlignment="1">
      <alignment horizontal="center" vertical="center"/>
    </xf>
    <xf numFmtId="164" fontId="8" fillId="34" borderId="15" xfId="2" applyNumberFormat="1" applyFont="1" applyFill="1" applyBorder="1" applyAlignment="1">
      <alignment horizontal="center" vertical="center"/>
    </xf>
    <xf numFmtId="164" fontId="8" fillId="34" borderId="16" xfId="2" applyNumberFormat="1" applyFont="1" applyFill="1" applyBorder="1" applyAlignment="1">
      <alignment horizontal="center" vertical="center"/>
    </xf>
    <xf numFmtId="164" fontId="8" fillId="35" borderId="6" xfId="2" applyNumberFormat="1" applyFont="1" applyFill="1" applyBorder="1" applyAlignment="1">
      <alignment horizontal="center" vertical="center"/>
    </xf>
    <xf numFmtId="164" fontId="8" fillId="35" borderId="16" xfId="2" applyNumberFormat="1" applyFont="1" applyFill="1" applyBorder="1" applyAlignment="1">
      <alignment horizontal="center" vertical="center"/>
    </xf>
    <xf numFmtId="164" fontId="8" fillId="35" borderId="15" xfId="2" applyNumberFormat="1" applyFont="1" applyFill="1" applyBorder="1" applyAlignment="1">
      <alignment horizontal="center" vertical="center"/>
    </xf>
    <xf numFmtId="164" fontId="8" fillId="34" borderId="6" xfId="2" applyNumberFormat="1" applyFont="1" applyFill="1" applyBorder="1" applyAlignment="1">
      <alignment horizontal="center" vertical="center"/>
    </xf>
    <xf numFmtId="164" fontId="8" fillId="35" borderId="18" xfId="2"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29" borderId="11" xfId="0" applyFont="1" applyFill="1" applyBorder="1" applyAlignment="1">
      <alignment horizontal="left" vertical="center" wrapText="1"/>
    </xf>
    <xf numFmtId="0" fontId="6" fillId="29" borderId="11" xfId="0" applyFont="1" applyFill="1" applyBorder="1" applyAlignment="1">
      <alignment horizontal="center" vertical="center" wrapText="1"/>
    </xf>
    <xf numFmtId="1" fontId="6" fillId="29" borderId="11" xfId="5" applyNumberFormat="1" applyFont="1" applyFill="1" applyBorder="1" applyAlignment="1">
      <alignment horizontal="center" vertical="center"/>
    </xf>
    <xf numFmtId="1" fontId="6" fillId="29" borderId="11" xfId="0" applyNumberFormat="1" applyFont="1" applyFill="1" applyBorder="1" applyAlignment="1">
      <alignment horizontal="center" vertical="center"/>
    </xf>
    <xf numFmtId="166" fontId="0" fillId="41" borderId="26" xfId="0" applyNumberFormat="1" applyFill="1" applyBorder="1" applyAlignment="1">
      <alignment horizontal="center" vertical="center"/>
    </xf>
    <xf numFmtId="0" fontId="0" fillId="41" borderId="36" xfId="0" applyFill="1" applyBorder="1" applyAlignment="1">
      <alignment horizontal="center" vertical="center"/>
    </xf>
    <xf numFmtId="0" fontId="8" fillId="29" borderId="26" xfId="0" applyFont="1" applyFill="1" applyBorder="1" applyAlignment="1">
      <alignment horizontal="left" vertical="center" wrapText="1"/>
    </xf>
    <xf numFmtId="0" fontId="8" fillId="29" borderId="30" xfId="0" applyFont="1" applyFill="1" applyBorder="1" applyAlignment="1">
      <alignment horizontal="left" vertical="center" wrapText="1"/>
    </xf>
    <xf numFmtId="0" fontId="8" fillId="104" borderId="37" xfId="0" applyFont="1" applyFill="1" applyBorder="1" applyAlignment="1">
      <alignment horizontal="center" vertical="center" wrapText="1"/>
    </xf>
    <xf numFmtId="164" fontId="0" fillId="59" borderId="26" xfId="0" applyNumberFormat="1" applyFill="1" applyBorder="1" applyAlignment="1">
      <alignment horizontal="center" vertical="center"/>
    </xf>
    <xf numFmtId="0" fontId="0" fillId="59" borderId="30" xfId="0" applyFill="1" applyBorder="1" applyAlignment="1">
      <alignment horizontal="center" vertical="center"/>
    </xf>
    <xf numFmtId="41" fontId="0" fillId="59" borderId="26" xfId="0" applyNumberFormat="1" applyFill="1" applyBorder="1" applyAlignment="1">
      <alignment horizontal="center" vertical="center"/>
    </xf>
    <xf numFmtId="0" fontId="0" fillId="59" borderId="36" xfId="0" applyFill="1" applyBorder="1" applyAlignment="1">
      <alignment horizontal="center" vertical="center"/>
    </xf>
    <xf numFmtId="165" fontId="8" fillId="73" borderId="20" xfId="0" applyNumberFormat="1" applyFont="1" applyFill="1" applyBorder="1" applyAlignment="1">
      <alignment horizontal="center" vertical="center"/>
    </xf>
    <xf numFmtId="165" fontId="8" fillId="73" borderId="15" xfId="0" applyNumberFormat="1" applyFont="1" applyFill="1" applyBorder="1" applyAlignment="1">
      <alignment horizontal="center" vertical="center"/>
    </xf>
    <xf numFmtId="165" fontId="8" fillId="73" borderId="18" xfId="0" applyNumberFormat="1" applyFont="1" applyFill="1" applyBorder="1" applyAlignment="1">
      <alignment horizontal="center" vertical="center"/>
    </xf>
    <xf numFmtId="165" fontId="8" fillId="116" borderId="20" xfId="0" applyNumberFormat="1" applyFont="1" applyFill="1" applyBorder="1" applyAlignment="1">
      <alignment horizontal="center" vertical="center"/>
    </xf>
    <xf numFmtId="165" fontId="8" fillId="116" borderId="15" xfId="0" applyNumberFormat="1" applyFont="1" applyFill="1" applyBorder="1" applyAlignment="1">
      <alignment horizontal="center" vertical="center"/>
    </xf>
    <xf numFmtId="165" fontId="8" fillId="116" borderId="18" xfId="0" applyNumberFormat="1" applyFont="1" applyFill="1" applyBorder="1" applyAlignment="1">
      <alignment horizontal="center" vertical="center"/>
    </xf>
    <xf numFmtId="0" fontId="8" fillId="104" borderId="11" xfId="0" applyFont="1" applyFill="1" applyBorder="1" applyAlignment="1">
      <alignment horizontal="justify" vertical="justify"/>
    </xf>
    <xf numFmtId="0" fontId="8" fillId="29" borderId="11" xfId="0" applyFont="1" applyFill="1" applyBorder="1" applyAlignment="1">
      <alignment horizontal="justify" vertical="justify"/>
    </xf>
    <xf numFmtId="0" fontId="8" fillId="29" borderId="11" xfId="0" applyFont="1" applyFill="1" applyBorder="1" applyAlignment="1">
      <alignment horizontal="center" vertical="center" wrapText="1"/>
    </xf>
    <xf numFmtId="164" fontId="22" fillId="59" borderId="26" xfId="0" applyNumberFormat="1" applyFont="1" applyFill="1" applyBorder="1" applyAlignment="1">
      <alignment horizontal="center" vertical="center"/>
    </xf>
    <xf numFmtId="164" fontId="22" fillId="15" borderId="26" xfId="0" applyNumberFormat="1" applyFont="1" applyFill="1" applyBorder="1" applyAlignment="1">
      <alignment horizontal="center" vertical="center"/>
    </xf>
    <xf numFmtId="166" fontId="22" fillId="15" borderId="26" xfId="0" applyNumberFormat="1" applyFont="1" applyFill="1" applyBorder="1" applyAlignment="1">
      <alignment horizontal="center" vertical="center"/>
    </xf>
    <xf numFmtId="0" fontId="8" fillId="76" borderId="52" xfId="0" applyFont="1" applyFill="1" applyBorder="1" applyAlignment="1">
      <alignment horizontal="left" vertical="center" wrapText="1"/>
    </xf>
    <xf numFmtId="0" fontId="6" fillId="21" borderId="4" xfId="0" applyFont="1" applyFill="1" applyBorder="1" applyAlignment="1">
      <alignment wrapText="1"/>
    </xf>
    <xf numFmtId="168" fontId="22" fillId="106" borderId="30" xfId="1"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104" borderId="38" xfId="0" applyFont="1" applyFill="1" applyBorder="1" applyAlignment="1">
      <alignment horizontal="center" vertical="center"/>
    </xf>
    <xf numFmtId="0" fontId="8" fillId="104" borderId="42" xfId="0" applyFont="1" applyFill="1" applyBorder="1" applyAlignment="1">
      <alignment horizontal="center" vertical="center"/>
    </xf>
    <xf numFmtId="0" fontId="8" fillId="104" borderId="43" xfId="0" applyFont="1" applyFill="1" applyBorder="1" applyAlignment="1">
      <alignment horizontal="center" vertical="center"/>
    </xf>
    <xf numFmtId="1" fontId="22" fillId="67" borderId="26" xfId="0" applyNumberFormat="1" applyFont="1" applyFill="1" applyBorder="1" applyAlignment="1">
      <alignment horizontal="left" vertical="center" wrapText="1"/>
    </xf>
    <xf numFmtId="1" fontId="22" fillId="67" borderId="30" xfId="0" applyNumberFormat="1" applyFont="1" applyFill="1" applyBorder="1" applyAlignment="1">
      <alignment horizontal="left" vertical="center" wrapText="1"/>
    </xf>
    <xf numFmtId="0" fontId="8" fillId="104" borderId="15" xfId="0" applyFont="1" applyFill="1" applyBorder="1" applyAlignment="1">
      <alignment horizontal="center" vertical="center"/>
    </xf>
    <xf numFmtId="0" fontId="8" fillId="104" borderId="16" xfId="0" applyFont="1" applyFill="1" applyBorder="1" applyAlignment="1">
      <alignment horizontal="center" vertical="center"/>
    </xf>
    <xf numFmtId="0" fontId="6" fillId="15" borderId="11" xfId="0" applyFont="1" applyFill="1" applyBorder="1" applyAlignment="1">
      <alignment horizontal="center"/>
    </xf>
    <xf numFmtId="165" fontId="8" fillId="113" borderId="6" xfId="0" applyNumberFormat="1" applyFont="1" applyFill="1" applyBorder="1" applyAlignment="1">
      <alignment horizontal="center" vertical="center"/>
    </xf>
    <xf numFmtId="9" fontId="6" fillId="5" borderId="42" xfId="0" applyNumberFormat="1" applyFont="1" applyFill="1" applyBorder="1" applyAlignment="1">
      <alignment horizontal="center" vertical="center"/>
    </xf>
    <xf numFmtId="0" fontId="16"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0" xfId="0" applyFont="1"/>
    <xf numFmtId="0" fontId="4" fillId="0" borderId="0" xfId="0" applyFont="1"/>
    <xf numFmtId="0" fontId="32" fillId="0" borderId="11" xfId="0" applyFont="1" applyFill="1" applyBorder="1" applyAlignment="1">
      <alignment vertical="center" wrapText="1"/>
    </xf>
    <xf numFmtId="0" fontId="22" fillId="0" borderId="11" xfId="0" applyFont="1" applyFill="1" applyBorder="1" applyAlignment="1">
      <alignment vertical="center" wrapText="1"/>
    </xf>
    <xf numFmtId="0" fontId="31" fillId="0" borderId="11" xfId="0" applyFont="1" applyFill="1" applyBorder="1" applyAlignment="1">
      <alignment vertical="center" wrapText="1"/>
    </xf>
    <xf numFmtId="0" fontId="30" fillId="18" borderId="86" xfId="0" applyFont="1" applyFill="1" applyBorder="1" applyAlignment="1">
      <alignment horizontal="center" wrapText="1"/>
    </xf>
    <xf numFmtId="0" fontId="34" fillId="18" borderId="87" xfId="0" applyFont="1" applyFill="1" applyBorder="1" applyAlignment="1">
      <alignment horizontal="right" vertical="center" wrapText="1"/>
    </xf>
    <xf numFmtId="0" fontId="34" fillId="18" borderId="57" xfId="0" applyFont="1" applyFill="1" applyBorder="1" applyAlignment="1">
      <alignment horizontal="right"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cellXfs>
  <cellStyles count="9">
    <cellStyle name="Millares" xfId="1" builtinId="3"/>
    <cellStyle name="Millares [0]" xfId="2" builtinId="6"/>
    <cellStyle name="Millares 2" xfId="6"/>
    <cellStyle name="Moneda" xfId="3" builtinId="4"/>
    <cellStyle name="Moneda [0]" xfId="4" builtinId="7"/>
    <cellStyle name="Moneda [0] 2" xfId="8"/>
    <cellStyle name="Normal" xfId="0" builtinId="0"/>
    <cellStyle name="Porcentaje" xfId="5" builtinId="5"/>
    <cellStyle name="Porcentaje 3" xfId="7"/>
  </cellStyles>
  <dxfs count="36">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0MARZO%202020\TELETRABAJO\PDM%202020\Formato%20descripci&#243;n%20Programas%20y%20Proye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Bandera"/>
      <sheetName val="Programa"/>
      <sheetName val="Proyectos "/>
      <sheetName val="CON %"/>
      <sheetName val="Hoja2"/>
    </sheetNames>
    <sheetDataSet>
      <sheetData sheetId="0" refreshError="1"/>
      <sheetData sheetId="1" refreshError="1"/>
      <sheetData sheetId="2" refreshError="1"/>
      <sheetData sheetId="3" refreshError="1">
        <row r="4">
          <cell r="H4">
            <v>2633409000</v>
          </cell>
          <cell r="I4">
            <v>7845803214</v>
          </cell>
          <cell r="J4">
            <v>264123900276</v>
          </cell>
          <cell r="K4">
            <v>482826762120</v>
          </cell>
          <cell r="L4">
            <v>183250154280</v>
          </cell>
          <cell r="N4">
            <v>105245024.48981875</v>
          </cell>
        </row>
        <row r="6">
          <cell r="G6">
            <v>1278081168</v>
          </cell>
          <cell r="I6">
            <v>0</v>
          </cell>
          <cell r="J6">
            <v>0</v>
          </cell>
          <cell r="K6">
            <v>1449287865.1199999</v>
          </cell>
          <cell r="L6">
            <v>1474709040</v>
          </cell>
        </row>
        <row r="8">
          <cell r="G8">
            <v>351121200</v>
          </cell>
          <cell r="I8">
            <v>0</v>
          </cell>
          <cell r="K8">
            <v>9831393600</v>
          </cell>
          <cell r="L8">
            <v>5266818000</v>
          </cell>
        </row>
        <row r="10">
          <cell r="G10">
            <v>702242400</v>
          </cell>
          <cell r="I10">
            <v>0</v>
          </cell>
          <cell r="J10">
            <v>0</v>
          </cell>
          <cell r="K10">
            <v>27387453600</v>
          </cell>
          <cell r="L10">
            <v>10533636000</v>
          </cell>
        </row>
        <row r="12">
          <cell r="G12">
            <v>334000000</v>
          </cell>
          <cell r="H12">
            <v>0</v>
          </cell>
          <cell r="I12">
            <v>0</v>
          </cell>
          <cell r="J12">
            <v>0</v>
          </cell>
          <cell r="N12">
            <v>61446210</v>
          </cell>
        </row>
        <row r="14">
          <cell r="G14">
            <v>263340900</v>
          </cell>
          <cell r="H14">
            <v>0</v>
          </cell>
          <cell r="I14">
            <v>0</v>
          </cell>
          <cell r="J14">
            <v>0</v>
          </cell>
          <cell r="K14">
            <v>6934643700</v>
          </cell>
          <cell r="L14">
            <v>2633409000</v>
          </cell>
          <cell r="M14">
            <v>9831393600</v>
          </cell>
        </row>
        <row r="15">
          <cell r="G15">
            <v>2.6785714285714284</v>
          </cell>
          <cell r="K15">
            <v>70.535714285714292</v>
          </cell>
          <cell r="L15">
            <v>26.785714285714285</v>
          </cell>
        </row>
        <row r="16">
          <cell r="L16">
            <v>493962505</v>
          </cell>
          <cell r="M16">
            <v>493962505</v>
          </cell>
        </row>
        <row r="18">
          <cell r="I18">
            <v>2124283260</v>
          </cell>
          <cell r="K18">
            <v>23367115860</v>
          </cell>
          <cell r="L18">
            <v>12745699560</v>
          </cell>
        </row>
        <row r="20">
          <cell r="G20">
            <v>0</v>
          </cell>
          <cell r="I20">
            <v>175560600</v>
          </cell>
          <cell r="J20">
            <v>1492265100</v>
          </cell>
          <cell r="K20">
            <v>263340900</v>
          </cell>
          <cell r="L20">
            <v>1580045400</v>
          </cell>
          <cell r="M20">
            <v>3511212000</v>
          </cell>
          <cell r="N20">
            <v>35112120</v>
          </cell>
        </row>
        <row r="23">
          <cell r="G23">
            <v>13477787262</v>
          </cell>
          <cell r="H23">
            <v>17970383016</v>
          </cell>
          <cell r="I23">
            <v>44925957540</v>
          </cell>
          <cell r="J23">
            <v>80866723572</v>
          </cell>
          <cell r="K23">
            <v>22462978770</v>
          </cell>
          <cell r="L23">
            <v>134777872620</v>
          </cell>
        </row>
        <row r="25">
          <cell r="L25">
            <v>14624197980</v>
          </cell>
          <cell r="O25">
            <v>61446210</v>
          </cell>
        </row>
        <row r="28">
          <cell r="I28">
            <v>1500000000</v>
          </cell>
          <cell r="L28">
            <v>28345302000</v>
          </cell>
          <cell r="N28">
            <v>14922651</v>
          </cell>
        </row>
        <row r="30">
          <cell r="I30">
            <v>2832559800</v>
          </cell>
          <cell r="N30">
            <v>14162799</v>
          </cell>
        </row>
        <row r="32">
          <cell r="I32">
            <v>5665119600</v>
          </cell>
          <cell r="N32">
            <v>14162799</v>
          </cell>
        </row>
        <row r="35">
          <cell r="G35">
            <v>2765079450</v>
          </cell>
          <cell r="I35">
            <v>1997001825</v>
          </cell>
          <cell r="J35">
            <v>1997001825</v>
          </cell>
          <cell r="K35">
            <v>1997001825</v>
          </cell>
          <cell r="L35">
            <v>1997001825</v>
          </cell>
          <cell r="N35">
            <v>61446210</v>
          </cell>
        </row>
        <row r="38">
          <cell r="H38">
            <v>304158739.5</v>
          </cell>
        </row>
        <row r="40">
          <cell r="H40">
            <v>405544986</v>
          </cell>
          <cell r="N40">
            <v>253556.17202572347</v>
          </cell>
        </row>
        <row r="43">
          <cell r="H43">
            <v>532826421</v>
          </cell>
          <cell r="K43">
            <v>532826421</v>
          </cell>
          <cell r="L43">
            <v>532826421</v>
          </cell>
          <cell r="N43">
            <v>2633409</v>
          </cell>
        </row>
        <row r="45">
          <cell r="H45">
            <v>321275898</v>
          </cell>
          <cell r="I45">
            <v>0</v>
          </cell>
          <cell r="J45">
            <v>0</v>
          </cell>
          <cell r="L45">
            <v>0</v>
          </cell>
          <cell r="M45">
            <v>321275898</v>
          </cell>
        </row>
        <row r="49">
          <cell r="G49">
            <v>263340900</v>
          </cell>
          <cell r="H49">
            <v>263340900</v>
          </cell>
          <cell r="J49">
            <v>0</v>
          </cell>
          <cell r="N49">
            <v>54423786</v>
          </cell>
        </row>
        <row r="54">
          <cell r="G54">
            <v>210672720</v>
          </cell>
          <cell r="I54">
            <v>0</v>
          </cell>
          <cell r="J54">
            <v>0</v>
          </cell>
          <cell r="L54">
            <v>491569680</v>
          </cell>
          <cell r="N54">
            <v>8778030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405"/>
  <sheetViews>
    <sheetView zoomScale="70" zoomScaleNormal="70" workbookViewId="0">
      <pane xSplit="5" ySplit="7" topLeftCell="AA8" activePane="bottomRight" state="frozen"/>
      <selection pane="topRight" activeCell="D1" sqref="D1"/>
      <selection pane="bottomLeft" activeCell="A8" sqref="A8"/>
      <selection pane="bottomRight" activeCell="I10" sqref="I10"/>
    </sheetView>
  </sheetViews>
  <sheetFormatPr baseColWidth="10" defaultRowHeight="15" x14ac:dyDescent="0.25"/>
  <cols>
    <col min="1" max="1" width="22.42578125" customWidth="1"/>
    <col min="2" max="2" width="22.85546875" customWidth="1"/>
    <col min="3" max="3" width="15.140625" style="1104" hidden="1" customWidth="1"/>
    <col min="4" max="4" width="12.5703125" style="1104" hidden="1" customWidth="1"/>
    <col min="5" max="5" width="23.42578125" customWidth="1"/>
    <col min="6" max="6" width="29.28515625" customWidth="1"/>
    <col min="7" max="7" width="31.140625" customWidth="1"/>
    <col min="8" max="8" width="15.85546875" customWidth="1"/>
    <col min="9" max="9" width="18.5703125" customWidth="1"/>
    <col min="10" max="10" width="20.42578125" customWidth="1"/>
    <col min="11" max="11" width="31.140625" customWidth="1"/>
    <col min="12" max="12" width="25.85546875" customWidth="1"/>
    <col min="13" max="13" width="17.7109375" customWidth="1"/>
    <col min="14" max="14" width="20" customWidth="1"/>
    <col min="15" max="15" width="18" customWidth="1"/>
    <col min="16" max="16" width="17.7109375" customWidth="1"/>
    <col min="17" max="17" width="17.42578125" customWidth="1"/>
    <col min="18" max="18" width="18.7109375" customWidth="1"/>
    <col min="19" max="19" width="15.5703125" hidden="1" customWidth="1"/>
    <col min="20" max="20" width="16.85546875" hidden="1" customWidth="1"/>
    <col min="21" max="21" width="24.7109375" customWidth="1"/>
    <col min="22" max="24" width="19.7109375" customWidth="1"/>
    <col min="25" max="25" width="24.7109375" customWidth="1"/>
    <col min="26" max="26" width="21.85546875" hidden="1" customWidth="1"/>
    <col min="27" max="27" width="19.85546875" customWidth="1"/>
    <col min="28" max="28" width="23.7109375" style="1042" hidden="1" customWidth="1"/>
    <col min="29" max="29" width="11.5703125" hidden="1" customWidth="1"/>
    <col min="30" max="30" width="22.5703125" customWidth="1"/>
    <col min="31" max="31" width="24" style="1042" hidden="1" customWidth="1"/>
    <col min="32" max="32" width="11.5703125" hidden="1" customWidth="1"/>
    <col min="33" max="33" width="21" customWidth="1"/>
    <col min="34" max="34" width="19.7109375" hidden="1" customWidth="1"/>
    <col min="35" max="35" width="11.5703125" hidden="1" customWidth="1"/>
    <col min="36" max="36" width="23.7109375" customWidth="1"/>
    <col min="37" max="37" width="19.7109375" hidden="1" customWidth="1"/>
    <col min="38" max="38" width="11.5703125" hidden="1" customWidth="1"/>
    <col min="39" max="39" width="22.42578125" customWidth="1"/>
    <col min="40" max="40" width="21.5703125" hidden="1" customWidth="1"/>
    <col min="41" max="41" width="11.5703125" hidden="1" customWidth="1"/>
    <col min="42" max="42" width="28.28515625" style="10" hidden="1" customWidth="1"/>
    <col min="43" max="43" width="11.42578125" hidden="1" customWidth="1"/>
    <col min="44" max="44" width="30" customWidth="1"/>
  </cols>
  <sheetData>
    <row r="1" spans="1:44" x14ac:dyDescent="0.25">
      <c r="K1" s="336"/>
    </row>
    <row r="2" spans="1:44" x14ac:dyDescent="0.25">
      <c r="A2" s="8"/>
      <c r="B2" s="8"/>
      <c r="C2" s="1105"/>
      <c r="D2" s="1105"/>
      <c r="E2" s="8"/>
      <c r="F2" s="8"/>
      <c r="G2" s="8"/>
      <c r="H2" s="8"/>
      <c r="I2" s="8"/>
      <c r="J2" s="8"/>
      <c r="K2" s="8"/>
      <c r="L2" s="8"/>
      <c r="M2" s="8"/>
      <c r="N2" s="8"/>
      <c r="O2" s="8"/>
      <c r="P2" s="8"/>
      <c r="Q2" s="8"/>
      <c r="R2" s="8"/>
      <c r="S2" s="8"/>
      <c r="T2" s="8"/>
      <c r="U2" s="973"/>
      <c r="V2" s="975"/>
      <c r="W2" s="8"/>
      <c r="X2" s="8"/>
      <c r="Y2" s="285"/>
      <c r="Z2" s="8"/>
      <c r="AA2" s="8"/>
      <c r="AB2" s="1043"/>
      <c r="AC2" s="8"/>
      <c r="AD2" s="8"/>
      <c r="AE2" s="1043"/>
      <c r="AF2" s="8"/>
      <c r="AG2" s="8"/>
      <c r="AH2" s="8"/>
      <c r="AI2" s="8"/>
      <c r="AJ2" s="8"/>
      <c r="AK2" s="8"/>
      <c r="AL2" s="8"/>
      <c r="AM2" s="8"/>
      <c r="AN2" s="8"/>
      <c r="AO2" s="8"/>
      <c r="AP2" s="285"/>
      <c r="AQ2" s="8"/>
      <c r="AR2" s="8"/>
    </row>
    <row r="3" spans="1:44" x14ac:dyDescent="0.25">
      <c r="A3" s="1310" t="s">
        <v>0</v>
      </c>
      <c r="B3" s="1311"/>
      <c r="C3" s="1311"/>
      <c r="D3" s="1311"/>
      <c r="E3" s="1311"/>
      <c r="F3" s="1311"/>
      <c r="G3" s="1311"/>
      <c r="H3" s="1311"/>
      <c r="I3" s="1311"/>
      <c r="J3" s="1311"/>
      <c r="K3" s="1311"/>
      <c r="L3" s="1311"/>
      <c r="M3" s="1311"/>
      <c r="N3" s="1311"/>
      <c r="O3" s="12"/>
      <c r="P3" s="12"/>
      <c r="Q3" s="12"/>
      <c r="R3" s="12"/>
      <c r="S3" s="13"/>
      <c r="T3" s="13"/>
      <c r="U3" s="14"/>
      <c r="V3" s="14"/>
      <c r="W3" s="14"/>
      <c r="X3" s="14"/>
      <c r="Y3" s="15"/>
      <c r="Z3" s="16"/>
      <c r="AA3" s="14"/>
      <c r="AB3" s="1044"/>
      <c r="AC3" s="17"/>
      <c r="AD3" s="445"/>
      <c r="AE3" s="1044"/>
      <c r="AF3" s="17"/>
      <c r="AG3" s="14"/>
      <c r="AH3" s="16"/>
      <c r="AI3" s="17"/>
      <c r="AJ3" s="14"/>
      <c r="AK3" s="16"/>
      <c r="AL3" s="17"/>
      <c r="AM3" s="14"/>
      <c r="AN3" s="16"/>
      <c r="AO3" s="17"/>
      <c r="AP3" s="14"/>
      <c r="AQ3" s="18"/>
      <c r="AR3" s="18"/>
    </row>
    <row r="4" spans="1:44" x14ac:dyDescent="0.25">
      <c r="A4" s="1312" t="s">
        <v>1</v>
      </c>
      <c r="B4" s="1313"/>
      <c r="C4" s="1313"/>
      <c r="D4" s="1313"/>
      <c r="E4" s="1313"/>
      <c r="F4" s="1313"/>
      <c r="G4" s="1313"/>
      <c r="H4" s="1313"/>
      <c r="I4" s="1313"/>
      <c r="J4" s="1313"/>
      <c r="K4" s="1313"/>
      <c r="L4" s="1313"/>
      <c r="M4" s="1313"/>
      <c r="N4" s="1313"/>
      <c r="O4" s="17"/>
      <c r="P4" s="17"/>
      <c r="Q4" s="17"/>
      <c r="R4" s="17"/>
      <c r="S4" s="13"/>
      <c r="T4" s="13"/>
      <c r="U4" s="19"/>
      <c r="V4" s="19"/>
      <c r="W4" s="19"/>
      <c r="X4" s="19"/>
      <c r="Y4" s="15"/>
      <c r="Z4" s="16"/>
      <c r="AA4" s="1099"/>
      <c r="AB4" s="1044"/>
      <c r="AC4" s="17"/>
      <c r="AD4" s="14"/>
      <c r="AE4" s="1044"/>
      <c r="AF4" s="17"/>
      <c r="AG4" s="14"/>
      <c r="AH4" s="16"/>
      <c r="AI4" s="17"/>
      <c r="AJ4" s="14"/>
      <c r="AK4" s="16"/>
      <c r="AL4" s="17"/>
      <c r="AM4" s="14"/>
      <c r="AN4" s="16"/>
      <c r="AO4" s="17"/>
      <c r="AP4" s="14"/>
      <c r="AQ4" s="18"/>
      <c r="AR4" s="18"/>
    </row>
    <row r="5" spans="1:44" x14ac:dyDescent="0.25">
      <c r="A5" s="1310" t="s">
        <v>1272</v>
      </c>
      <c r="B5" s="1311"/>
      <c r="C5" s="1311"/>
      <c r="D5" s="1311"/>
      <c r="E5" s="1311"/>
      <c r="F5" s="1311"/>
      <c r="G5" s="1311"/>
      <c r="H5" s="1311"/>
      <c r="I5" s="1311"/>
      <c r="J5" s="1311"/>
      <c r="K5" s="1311"/>
      <c r="L5" s="1311"/>
      <c r="M5" s="1311"/>
      <c r="N5" s="1311"/>
      <c r="O5" s="12"/>
      <c r="P5" s="12"/>
      <c r="Q5" s="12"/>
      <c r="R5" s="12"/>
      <c r="S5" s="13"/>
      <c r="T5" s="13"/>
      <c r="U5" s="14"/>
      <c r="V5" s="14"/>
      <c r="W5" s="14"/>
      <c r="X5" s="14"/>
      <c r="Y5" s="15"/>
      <c r="Z5" s="16"/>
      <c r="AA5" s="14"/>
      <c r="AB5" s="1044"/>
      <c r="AC5" s="17"/>
      <c r="AD5" s="14"/>
      <c r="AE5" s="1044"/>
      <c r="AF5" s="17"/>
      <c r="AG5" s="14"/>
      <c r="AH5" s="16"/>
      <c r="AI5" s="17"/>
      <c r="AJ5" s="14"/>
      <c r="AK5" s="16"/>
      <c r="AL5" s="17"/>
      <c r="AM5" s="14"/>
      <c r="AN5" s="16"/>
      <c r="AO5" s="17"/>
      <c r="AP5" s="14"/>
      <c r="AQ5" s="18"/>
      <c r="AR5" s="18"/>
    </row>
    <row r="6" spans="1:44" ht="15.75" thickBot="1" x14ac:dyDescent="0.3">
      <c r="A6" s="20"/>
      <c r="B6" s="20"/>
      <c r="C6" s="1106"/>
      <c r="D6" s="1106"/>
      <c r="E6" s="20"/>
      <c r="F6" s="20"/>
      <c r="G6" s="12"/>
      <c r="H6" s="12"/>
      <c r="I6" s="12"/>
      <c r="J6" s="20"/>
      <c r="K6" s="13"/>
      <c r="L6" s="12"/>
      <c r="M6" s="12"/>
      <c r="N6" s="12"/>
      <c r="O6" s="1314" t="s">
        <v>2</v>
      </c>
      <c r="P6" s="1315"/>
      <c r="Q6" s="1315"/>
      <c r="R6" s="1316"/>
      <c r="S6" s="339"/>
      <c r="T6" s="339"/>
      <c r="U6" s="1317" t="s">
        <v>3</v>
      </c>
      <c r="V6" s="1318"/>
      <c r="W6" s="1318"/>
      <c r="X6" s="1319"/>
      <c r="Y6" s="15"/>
      <c r="Z6" s="16"/>
      <c r="AA6" s="1270" t="s">
        <v>4</v>
      </c>
      <c r="AB6" s="1271"/>
      <c r="AC6" s="1272"/>
      <c r="AD6" s="1272"/>
      <c r="AE6" s="1272"/>
      <c r="AF6" s="1272"/>
      <c r="AG6" s="1272"/>
      <c r="AH6" s="1272"/>
      <c r="AI6" s="1272"/>
      <c r="AJ6" s="1272"/>
      <c r="AK6" s="1272"/>
      <c r="AL6" s="1273"/>
      <c r="AM6" s="1272"/>
      <c r="AN6" s="1272"/>
      <c r="AO6" s="1273"/>
      <c r="AP6" s="14"/>
      <c r="AQ6" s="18"/>
      <c r="AR6" s="18"/>
    </row>
    <row r="7" spans="1:44" ht="58.5" customHeight="1" x14ac:dyDescent="0.25">
      <c r="A7" s="22" t="s">
        <v>716</v>
      </c>
      <c r="B7" s="21" t="s">
        <v>5</v>
      </c>
      <c r="C7" s="1107" t="s">
        <v>1079</v>
      </c>
      <c r="D7" s="1109" t="s">
        <v>1080</v>
      </c>
      <c r="E7" s="21" t="s">
        <v>6</v>
      </c>
      <c r="F7" s="22" t="s">
        <v>715</v>
      </c>
      <c r="G7" s="22" t="s">
        <v>717</v>
      </c>
      <c r="H7" s="21" t="s">
        <v>7</v>
      </c>
      <c r="I7" s="21" t="s">
        <v>8</v>
      </c>
      <c r="J7" s="21" t="s">
        <v>568</v>
      </c>
      <c r="K7" s="22" t="s">
        <v>10</v>
      </c>
      <c r="L7" s="22" t="s">
        <v>11</v>
      </c>
      <c r="M7" s="22" t="s">
        <v>718</v>
      </c>
      <c r="N7" s="21" t="s">
        <v>12</v>
      </c>
      <c r="O7" s="21" t="s">
        <v>13</v>
      </c>
      <c r="P7" s="21" t="s">
        <v>14</v>
      </c>
      <c r="Q7" s="21" t="s">
        <v>15</v>
      </c>
      <c r="R7" s="21" t="s">
        <v>8</v>
      </c>
      <c r="S7" s="23" t="s">
        <v>16</v>
      </c>
      <c r="T7" s="24" t="s">
        <v>17</v>
      </c>
      <c r="U7" s="279" t="s">
        <v>18</v>
      </c>
      <c r="V7" s="279" t="s">
        <v>19</v>
      </c>
      <c r="W7" s="279" t="s">
        <v>20</v>
      </c>
      <c r="X7" s="279" t="s">
        <v>21</v>
      </c>
      <c r="Y7" s="280" t="s">
        <v>22</v>
      </c>
      <c r="Z7" s="799" t="s">
        <v>23</v>
      </c>
      <c r="AA7" s="25" t="s">
        <v>24</v>
      </c>
      <c r="AB7" s="1045" t="s">
        <v>25</v>
      </c>
      <c r="AC7" s="26" t="s">
        <v>26</v>
      </c>
      <c r="AD7" s="25" t="s">
        <v>27</v>
      </c>
      <c r="AE7" s="1045" t="s">
        <v>28</v>
      </c>
      <c r="AF7" s="26" t="s">
        <v>26</v>
      </c>
      <c r="AG7" s="25" t="s">
        <v>29</v>
      </c>
      <c r="AH7" s="800" t="s">
        <v>30</v>
      </c>
      <c r="AI7" s="26" t="s">
        <v>26</v>
      </c>
      <c r="AJ7" s="281" t="s">
        <v>31</v>
      </c>
      <c r="AK7" s="800" t="s">
        <v>32</v>
      </c>
      <c r="AL7" s="26" t="s">
        <v>26</v>
      </c>
      <c r="AM7" s="281" t="s">
        <v>33</v>
      </c>
      <c r="AN7" s="800" t="s">
        <v>34</v>
      </c>
      <c r="AO7" s="27" t="s">
        <v>26</v>
      </c>
      <c r="AP7" s="984" t="s">
        <v>17</v>
      </c>
      <c r="AQ7" s="18"/>
      <c r="AR7" s="1144" t="s">
        <v>1121</v>
      </c>
    </row>
    <row r="8" spans="1:44" s="340" customFormat="1" ht="28.5" customHeight="1" x14ac:dyDescent="0.2">
      <c r="A8" s="2047" t="s">
        <v>35</v>
      </c>
      <c r="B8" s="1917" t="s">
        <v>36</v>
      </c>
      <c r="C8" s="2214">
        <v>2201</v>
      </c>
      <c r="D8" s="2214" t="s">
        <v>1081</v>
      </c>
      <c r="E8" s="1918" t="s">
        <v>37</v>
      </c>
      <c r="F8" s="1324" t="s">
        <v>38</v>
      </c>
      <c r="G8" s="1919" t="s">
        <v>1120</v>
      </c>
      <c r="H8" s="1919">
        <v>0</v>
      </c>
      <c r="I8" s="1920">
        <v>1</v>
      </c>
      <c r="J8" s="1324" t="s">
        <v>852</v>
      </c>
      <c r="K8" s="446" t="s">
        <v>40</v>
      </c>
      <c r="L8" s="447" t="s">
        <v>41</v>
      </c>
      <c r="M8" s="448">
        <v>0.2</v>
      </c>
      <c r="N8" s="448">
        <v>1</v>
      </c>
      <c r="O8" s="449">
        <v>1</v>
      </c>
      <c r="P8" s="450"/>
      <c r="Q8" s="450"/>
      <c r="R8" s="450"/>
      <c r="S8" s="451"/>
      <c r="T8" s="448">
        <f>+SUM(O8:R8)</f>
        <v>1</v>
      </c>
      <c r="U8" s="452">
        <v>62754405</v>
      </c>
      <c r="V8" s="452">
        <v>0</v>
      </c>
      <c r="W8" s="452">
        <v>0</v>
      </c>
      <c r="X8" s="452">
        <v>0</v>
      </c>
      <c r="Y8" s="453">
        <f t="shared" ref="Y8:Y52" si="0">+U8+V8+W8+X8</f>
        <v>62754405</v>
      </c>
      <c r="Z8" s="2109">
        <f>+SUM(Y8:Y38)</f>
        <v>9979626068.3632011</v>
      </c>
      <c r="AA8" s="452">
        <v>62754405</v>
      </c>
      <c r="AB8" s="2168">
        <f>+SUM(AA8:AA38)</f>
        <v>2945770972</v>
      </c>
      <c r="AC8" s="454">
        <f t="shared" ref="AC8:AC48" si="1">+AB8/Y8</f>
        <v>46.941262083514296</v>
      </c>
      <c r="AD8" s="452">
        <v>0</v>
      </c>
      <c r="AE8" s="2168">
        <f>+SUM(AD8:AD38)</f>
        <v>7033855096</v>
      </c>
      <c r="AF8" s="452">
        <v>0</v>
      </c>
      <c r="AG8" s="452">
        <v>0</v>
      </c>
      <c r="AH8" s="2109">
        <f>+SUM(AG8:AG38)</f>
        <v>0</v>
      </c>
      <c r="AI8" s="454">
        <f t="shared" ref="AI8:AI48" si="2">+AH8/Y8</f>
        <v>0</v>
      </c>
      <c r="AJ8" s="452">
        <v>0</v>
      </c>
      <c r="AK8" s="2109">
        <f>+SUM(AJ8:AJ38)</f>
        <v>0</v>
      </c>
      <c r="AL8" s="451"/>
      <c r="AM8" s="452">
        <v>0</v>
      </c>
      <c r="AN8" s="2109">
        <f>+SUM(AM8:AM38)</f>
        <v>0</v>
      </c>
      <c r="AP8" s="876">
        <f>+AA8+AD8+AG8+AJ8+AM8</f>
        <v>62754405</v>
      </c>
      <c r="AQ8" s="18" t="str">
        <f t="shared" ref="AQ8:AQ71" si="3">+IF(Y8=AP8,"Bien","Error")</f>
        <v>Bien</v>
      </c>
      <c r="AR8" s="1145" t="s">
        <v>1182</v>
      </c>
    </row>
    <row r="9" spans="1:44" s="340" customFormat="1" ht="74.25" customHeight="1" x14ac:dyDescent="0.2">
      <c r="A9" s="2048"/>
      <c r="B9" s="1917"/>
      <c r="C9" s="2214"/>
      <c r="D9" s="2214"/>
      <c r="E9" s="1918"/>
      <c r="F9" s="1324"/>
      <c r="G9" s="1919"/>
      <c r="H9" s="1919"/>
      <c r="I9" s="1920"/>
      <c r="J9" s="1324"/>
      <c r="K9" s="455" t="s">
        <v>852</v>
      </c>
      <c r="L9" s="447" t="s">
        <v>42</v>
      </c>
      <c r="M9" s="447">
        <v>0</v>
      </c>
      <c r="N9" s="448">
        <v>1</v>
      </c>
      <c r="O9" s="456">
        <v>0.4</v>
      </c>
      <c r="P9" s="456">
        <v>0.2</v>
      </c>
      <c r="Q9" s="456">
        <v>0.2</v>
      </c>
      <c r="R9" s="456">
        <v>0.2</v>
      </c>
      <c r="S9" s="451"/>
      <c r="T9" s="448">
        <f>+SUM(O9:R9)</f>
        <v>1</v>
      </c>
      <c r="U9" s="452">
        <v>80000000</v>
      </c>
      <c r="V9" s="452">
        <v>31200000</v>
      </c>
      <c r="W9" s="452">
        <v>27436000</v>
      </c>
      <c r="X9" s="452">
        <v>28709080</v>
      </c>
      <c r="Y9" s="453">
        <f t="shared" si="0"/>
        <v>167345080</v>
      </c>
      <c r="Z9" s="2110"/>
      <c r="AA9" s="452">
        <v>167345080</v>
      </c>
      <c r="AB9" s="2169"/>
      <c r="AC9" s="454">
        <f t="shared" si="1"/>
        <v>0</v>
      </c>
      <c r="AD9" s="452">
        <v>0</v>
      </c>
      <c r="AE9" s="2169"/>
      <c r="AF9" s="452">
        <v>0</v>
      </c>
      <c r="AG9" s="452">
        <v>0</v>
      </c>
      <c r="AH9" s="2110"/>
      <c r="AI9" s="454">
        <f t="shared" si="2"/>
        <v>0</v>
      </c>
      <c r="AJ9" s="452">
        <v>0</v>
      </c>
      <c r="AK9" s="2110"/>
      <c r="AL9" s="451"/>
      <c r="AM9" s="452">
        <v>0</v>
      </c>
      <c r="AN9" s="2110"/>
      <c r="AP9" s="876">
        <f t="shared" ref="AP9:AP48" si="4">+AA9+AD9+AG9+AJ9+AM9</f>
        <v>167345080</v>
      </c>
      <c r="AQ9" s="18" t="str">
        <f t="shared" si="3"/>
        <v>Bien</v>
      </c>
      <c r="AR9" s="1145" t="s">
        <v>1182</v>
      </c>
    </row>
    <row r="10" spans="1:44" s="340" customFormat="1" ht="107.25" customHeight="1" x14ac:dyDescent="0.2">
      <c r="A10" s="2048"/>
      <c r="B10" s="1917"/>
      <c r="C10" s="2214"/>
      <c r="D10" s="2214"/>
      <c r="E10" s="1918"/>
      <c r="F10" s="455" t="s">
        <v>43</v>
      </c>
      <c r="G10" s="447" t="s">
        <v>44</v>
      </c>
      <c r="H10" s="447">
        <v>4</v>
      </c>
      <c r="I10" s="455">
        <v>10</v>
      </c>
      <c r="J10" s="455" t="s">
        <v>1015</v>
      </c>
      <c r="K10" s="446" t="s">
        <v>853</v>
      </c>
      <c r="L10" s="447" t="s">
        <v>45</v>
      </c>
      <c r="M10" s="447">
        <v>4</v>
      </c>
      <c r="N10" s="447">
        <v>10</v>
      </c>
      <c r="O10" s="450">
        <v>4</v>
      </c>
      <c r="P10" s="450">
        <v>6</v>
      </c>
      <c r="Q10" s="450">
        <v>9</v>
      </c>
      <c r="R10" s="450">
        <v>10</v>
      </c>
      <c r="S10" s="451"/>
      <c r="T10" s="457">
        <f>R10</f>
        <v>10</v>
      </c>
      <c r="U10" s="452">
        <v>10000000</v>
      </c>
      <c r="V10" s="452">
        <v>10300000</v>
      </c>
      <c r="W10" s="452">
        <v>10609000</v>
      </c>
      <c r="X10" s="452">
        <v>10927270</v>
      </c>
      <c r="Y10" s="453">
        <f t="shared" si="0"/>
        <v>41836270</v>
      </c>
      <c r="Z10" s="2110"/>
      <c r="AA10" s="452">
        <v>41836270</v>
      </c>
      <c r="AB10" s="2169"/>
      <c r="AC10" s="454">
        <f t="shared" si="1"/>
        <v>0</v>
      </c>
      <c r="AD10" s="452">
        <v>0</v>
      </c>
      <c r="AE10" s="2169"/>
      <c r="AF10" s="452">
        <v>0</v>
      </c>
      <c r="AG10" s="452">
        <v>0</v>
      </c>
      <c r="AH10" s="2110"/>
      <c r="AI10" s="454">
        <f t="shared" si="2"/>
        <v>0</v>
      </c>
      <c r="AJ10" s="452">
        <v>0</v>
      </c>
      <c r="AK10" s="2110"/>
      <c r="AL10" s="451"/>
      <c r="AM10" s="452">
        <v>0</v>
      </c>
      <c r="AN10" s="2110"/>
      <c r="AP10" s="876">
        <f t="shared" si="4"/>
        <v>41836270</v>
      </c>
      <c r="AQ10" s="18" t="str">
        <f t="shared" si="3"/>
        <v>Bien</v>
      </c>
      <c r="AR10" s="1145" t="s">
        <v>1182</v>
      </c>
    </row>
    <row r="11" spans="1:44" s="340" customFormat="1" ht="191.25" customHeight="1" x14ac:dyDescent="0.2">
      <c r="A11" s="2048"/>
      <c r="B11" s="1917"/>
      <c r="C11" s="2214"/>
      <c r="D11" s="2214"/>
      <c r="E11" s="1918"/>
      <c r="F11" s="1921" t="s">
        <v>46</v>
      </c>
      <c r="G11" s="1922" t="s">
        <v>44</v>
      </c>
      <c r="H11" s="1922" t="s">
        <v>107</v>
      </c>
      <c r="I11" s="1921">
        <v>41</v>
      </c>
      <c r="J11" s="1324" t="s">
        <v>1122</v>
      </c>
      <c r="K11" s="455" t="s">
        <v>47</v>
      </c>
      <c r="L11" s="447" t="s">
        <v>45</v>
      </c>
      <c r="M11" s="447">
        <v>41</v>
      </c>
      <c r="N11" s="447">
        <v>41</v>
      </c>
      <c r="O11" s="450">
        <v>41</v>
      </c>
      <c r="P11" s="450">
        <v>41</v>
      </c>
      <c r="Q11" s="450">
        <v>41</v>
      </c>
      <c r="R11" s="450">
        <v>41</v>
      </c>
      <c r="S11" s="451"/>
      <c r="T11" s="457">
        <f>R11</f>
        <v>41</v>
      </c>
      <c r="U11" s="452">
        <v>75000000</v>
      </c>
      <c r="V11" s="452">
        <f>72100000+5150000</f>
        <v>77250000</v>
      </c>
      <c r="W11" s="452">
        <f>74263000+5304500</f>
        <v>79567500</v>
      </c>
      <c r="X11" s="452">
        <f>76490890+5463635</f>
        <v>81954525</v>
      </c>
      <c r="Y11" s="453">
        <f t="shared" si="0"/>
        <v>313772025</v>
      </c>
      <c r="Z11" s="2110"/>
      <c r="AA11" s="452">
        <v>292853890</v>
      </c>
      <c r="AB11" s="2169"/>
      <c r="AC11" s="454">
        <f t="shared" si="1"/>
        <v>0</v>
      </c>
      <c r="AD11" s="452">
        <v>20918135</v>
      </c>
      <c r="AE11" s="2169"/>
      <c r="AF11" s="452">
        <v>0</v>
      </c>
      <c r="AG11" s="452">
        <v>0</v>
      </c>
      <c r="AH11" s="2110"/>
      <c r="AI11" s="454">
        <f t="shared" si="2"/>
        <v>0</v>
      </c>
      <c r="AJ11" s="452">
        <v>0</v>
      </c>
      <c r="AK11" s="2110"/>
      <c r="AL11" s="451"/>
      <c r="AM11" s="452">
        <v>0</v>
      </c>
      <c r="AN11" s="2110"/>
      <c r="AP11" s="876">
        <f t="shared" si="4"/>
        <v>313772025</v>
      </c>
      <c r="AQ11" s="18" t="str">
        <f t="shared" si="3"/>
        <v>Bien</v>
      </c>
      <c r="AR11" s="1145" t="s">
        <v>1182</v>
      </c>
    </row>
    <row r="12" spans="1:44" s="340" customFormat="1" ht="97.5" customHeight="1" x14ac:dyDescent="0.2">
      <c r="A12" s="2048"/>
      <c r="B12" s="1917"/>
      <c r="C12" s="2214"/>
      <c r="D12" s="2214"/>
      <c r="E12" s="1918"/>
      <c r="F12" s="1325"/>
      <c r="G12" s="1325"/>
      <c r="H12" s="1327"/>
      <c r="I12" s="1325"/>
      <c r="J12" s="1325"/>
      <c r="K12" s="455" t="s">
        <v>48</v>
      </c>
      <c r="L12" s="447" t="s">
        <v>49</v>
      </c>
      <c r="M12" s="447" t="s">
        <v>107</v>
      </c>
      <c r="N12" s="448">
        <v>1</v>
      </c>
      <c r="O12" s="449">
        <v>0.4</v>
      </c>
      <c r="P12" s="449">
        <v>0.2</v>
      </c>
      <c r="Q12" s="449">
        <v>0.2</v>
      </c>
      <c r="R12" s="449">
        <v>0.2</v>
      </c>
      <c r="S12" s="451"/>
      <c r="T12" s="448">
        <f>+SUM(O12:R12)</f>
        <v>1</v>
      </c>
      <c r="U12" s="452">
        <v>5000000</v>
      </c>
      <c r="V12" s="452">
        <v>5150000</v>
      </c>
      <c r="W12" s="452">
        <v>5304500</v>
      </c>
      <c r="X12" s="452">
        <v>5463635</v>
      </c>
      <c r="Y12" s="453">
        <f t="shared" si="0"/>
        <v>20918135</v>
      </c>
      <c r="Z12" s="2110"/>
      <c r="AA12" s="452">
        <v>0</v>
      </c>
      <c r="AB12" s="2169"/>
      <c r="AC12" s="454">
        <f t="shared" si="1"/>
        <v>0</v>
      </c>
      <c r="AD12" s="452">
        <v>20918135</v>
      </c>
      <c r="AE12" s="2169"/>
      <c r="AF12" s="452">
        <v>0</v>
      </c>
      <c r="AG12" s="452">
        <v>0</v>
      </c>
      <c r="AH12" s="2110"/>
      <c r="AI12" s="454">
        <f t="shared" si="2"/>
        <v>0</v>
      </c>
      <c r="AJ12" s="452">
        <v>0</v>
      </c>
      <c r="AK12" s="2110"/>
      <c r="AL12" s="451"/>
      <c r="AM12" s="452">
        <v>0</v>
      </c>
      <c r="AN12" s="2110"/>
      <c r="AP12" s="876">
        <f t="shared" si="4"/>
        <v>20918135</v>
      </c>
      <c r="AQ12" s="18" t="str">
        <f t="shared" si="3"/>
        <v>Bien</v>
      </c>
      <c r="AR12" s="1145" t="s">
        <v>1182</v>
      </c>
    </row>
    <row r="13" spans="1:44" s="340" customFormat="1" ht="78" customHeight="1" x14ac:dyDescent="0.2">
      <c r="A13" s="2048"/>
      <c r="B13" s="1917"/>
      <c r="C13" s="2214"/>
      <c r="D13" s="2214"/>
      <c r="E13" s="1918"/>
      <c r="F13" s="1325"/>
      <c r="G13" s="1325"/>
      <c r="H13" s="1327"/>
      <c r="I13" s="1325"/>
      <c r="J13" s="1325"/>
      <c r="K13" s="446" t="s">
        <v>854</v>
      </c>
      <c r="L13" s="447" t="s">
        <v>50</v>
      </c>
      <c r="M13" s="447">
        <v>1</v>
      </c>
      <c r="N13" s="447">
        <v>4</v>
      </c>
      <c r="O13" s="450">
        <v>1</v>
      </c>
      <c r="P13" s="450">
        <v>1</v>
      </c>
      <c r="Q13" s="450">
        <v>1</v>
      </c>
      <c r="R13" s="450">
        <v>1</v>
      </c>
      <c r="S13" s="451"/>
      <c r="T13" s="447">
        <f>+SUM(O13:R13)</f>
        <v>4</v>
      </c>
      <c r="U13" s="452">
        <v>5000000</v>
      </c>
      <c r="V13" s="452">
        <v>5150000</v>
      </c>
      <c r="W13" s="452">
        <v>5304500</v>
      </c>
      <c r="X13" s="452">
        <v>5463635</v>
      </c>
      <c r="Y13" s="453">
        <f t="shared" si="0"/>
        <v>20918135</v>
      </c>
      <c r="Z13" s="2110"/>
      <c r="AA13" s="452">
        <v>0</v>
      </c>
      <c r="AB13" s="2169"/>
      <c r="AC13" s="454">
        <f t="shared" si="1"/>
        <v>0</v>
      </c>
      <c r="AD13" s="452">
        <v>20918135</v>
      </c>
      <c r="AE13" s="2169"/>
      <c r="AF13" s="452">
        <v>0</v>
      </c>
      <c r="AG13" s="452">
        <v>0</v>
      </c>
      <c r="AH13" s="2110"/>
      <c r="AI13" s="454">
        <f t="shared" si="2"/>
        <v>0</v>
      </c>
      <c r="AJ13" s="452">
        <v>0</v>
      </c>
      <c r="AK13" s="2110"/>
      <c r="AL13" s="451"/>
      <c r="AM13" s="452">
        <v>0</v>
      </c>
      <c r="AN13" s="2110"/>
      <c r="AP13" s="876">
        <f t="shared" si="4"/>
        <v>20918135</v>
      </c>
      <c r="AQ13" s="18" t="str">
        <f t="shared" si="3"/>
        <v>Bien</v>
      </c>
      <c r="AR13" s="1145" t="s">
        <v>1182</v>
      </c>
    </row>
    <row r="14" spans="1:44" s="340" customFormat="1" ht="45.75" customHeight="1" x14ac:dyDescent="0.2">
      <c r="A14" s="2048"/>
      <c r="B14" s="1917"/>
      <c r="C14" s="2214"/>
      <c r="D14" s="2214"/>
      <c r="E14" s="1918"/>
      <c r="F14" s="1325"/>
      <c r="G14" s="1325"/>
      <c r="H14" s="1327"/>
      <c r="I14" s="1325"/>
      <c r="J14" s="1325"/>
      <c r="K14" s="455" t="s">
        <v>51</v>
      </c>
      <c r="L14" s="447" t="s">
        <v>39</v>
      </c>
      <c r="M14" s="458" t="s">
        <v>107</v>
      </c>
      <c r="N14" s="458">
        <v>1</v>
      </c>
      <c r="O14" s="456">
        <v>0.25</v>
      </c>
      <c r="P14" s="456">
        <v>0.25</v>
      </c>
      <c r="Q14" s="456">
        <v>0.25</v>
      </c>
      <c r="R14" s="456">
        <v>0.25</v>
      </c>
      <c r="S14" s="451"/>
      <c r="T14" s="458">
        <f>+SUM(O14:R14)</f>
        <v>1</v>
      </c>
      <c r="U14" s="452">
        <v>5000000</v>
      </c>
      <c r="V14" s="452">
        <v>5150000</v>
      </c>
      <c r="W14" s="452">
        <v>5304500</v>
      </c>
      <c r="X14" s="452">
        <v>5463635</v>
      </c>
      <c r="Y14" s="453">
        <f t="shared" si="0"/>
        <v>20918135</v>
      </c>
      <c r="Z14" s="2110"/>
      <c r="AA14" s="452">
        <v>0</v>
      </c>
      <c r="AB14" s="2169"/>
      <c r="AC14" s="454">
        <f t="shared" si="1"/>
        <v>0</v>
      </c>
      <c r="AD14" s="452">
        <v>20918135</v>
      </c>
      <c r="AE14" s="2169"/>
      <c r="AF14" s="452">
        <v>0</v>
      </c>
      <c r="AG14" s="452">
        <v>0</v>
      </c>
      <c r="AH14" s="2110"/>
      <c r="AI14" s="454">
        <f t="shared" si="2"/>
        <v>0</v>
      </c>
      <c r="AJ14" s="452">
        <v>0</v>
      </c>
      <c r="AK14" s="2110"/>
      <c r="AL14" s="451"/>
      <c r="AM14" s="452">
        <v>0</v>
      </c>
      <c r="AN14" s="2110"/>
      <c r="AP14" s="876">
        <f t="shared" si="4"/>
        <v>20918135</v>
      </c>
      <c r="AQ14" s="18" t="str">
        <f t="shared" si="3"/>
        <v>Bien</v>
      </c>
      <c r="AR14" s="1145" t="s">
        <v>1182</v>
      </c>
    </row>
    <row r="15" spans="1:44" s="340" customFormat="1" ht="129.75" customHeight="1" x14ac:dyDescent="0.2">
      <c r="A15" s="2048"/>
      <c r="B15" s="1917"/>
      <c r="C15" s="2214"/>
      <c r="D15" s="2214"/>
      <c r="E15" s="1918"/>
      <c r="F15" s="455" t="s">
        <v>52</v>
      </c>
      <c r="G15" s="448" t="s">
        <v>44</v>
      </c>
      <c r="H15" s="459">
        <v>21</v>
      </c>
      <c r="I15" s="460">
        <v>25</v>
      </c>
      <c r="J15" s="460" t="s">
        <v>1016</v>
      </c>
      <c r="K15" s="455" t="s">
        <v>53</v>
      </c>
      <c r="L15" s="448" t="s">
        <v>44</v>
      </c>
      <c r="M15" s="447">
        <v>21</v>
      </c>
      <c r="N15" s="447">
        <v>25</v>
      </c>
      <c r="O15" s="450">
        <v>21</v>
      </c>
      <c r="P15" s="450">
        <v>25</v>
      </c>
      <c r="Q15" s="450">
        <v>25</v>
      </c>
      <c r="R15" s="450">
        <v>25</v>
      </c>
      <c r="S15" s="451"/>
      <c r="T15" s="457">
        <f>R15</f>
        <v>25</v>
      </c>
      <c r="U15" s="452">
        <v>141079421</v>
      </c>
      <c r="V15" s="452">
        <f>144281804+1030000</f>
        <v>145311804</v>
      </c>
      <c r="W15" s="452">
        <f>148610258+1060900</f>
        <v>149671158</v>
      </c>
      <c r="X15" s="452">
        <f>153068565+1092727</f>
        <v>154161292</v>
      </c>
      <c r="Y15" s="453">
        <f t="shared" si="0"/>
        <v>590223675</v>
      </c>
      <c r="Z15" s="2110"/>
      <c r="AA15" s="452">
        <v>586040048</v>
      </c>
      <c r="AB15" s="2169"/>
      <c r="AC15" s="454">
        <f t="shared" si="1"/>
        <v>0</v>
      </c>
      <c r="AD15" s="452">
        <v>4183627</v>
      </c>
      <c r="AE15" s="2169"/>
      <c r="AF15" s="452">
        <v>0</v>
      </c>
      <c r="AG15" s="452">
        <v>0</v>
      </c>
      <c r="AH15" s="2110"/>
      <c r="AI15" s="454">
        <f t="shared" si="2"/>
        <v>0</v>
      </c>
      <c r="AJ15" s="452">
        <v>0</v>
      </c>
      <c r="AK15" s="2110"/>
      <c r="AL15" s="451"/>
      <c r="AM15" s="452">
        <v>0</v>
      </c>
      <c r="AN15" s="2110"/>
      <c r="AP15" s="876">
        <f t="shared" si="4"/>
        <v>590223675</v>
      </c>
      <c r="AQ15" s="18" t="str">
        <f t="shared" si="3"/>
        <v>Bien</v>
      </c>
      <c r="AR15" s="1145" t="s">
        <v>1182</v>
      </c>
    </row>
    <row r="16" spans="1:44" s="340" customFormat="1" ht="105.75" customHeight="1" x14ac:dyDescent="0.2">
      <c r="A16" s="2048"/>
      <c r="B16" s="1917"/>
      <c r="C16" s="2214"/>
      <c r="D16" s="2214"/>
      <c r="E16" s="1918"/>
      <c r="F16" s="1324" t="s">
        <v>54</v>
      </c>
      <c r="G16" s="1326" t="s">
        <v>39</v>
      </c>
      <c r="H16" s="1326">
        <v>1</v>
      </c>
      <c r="I16" s="1328">
        <v>1</v>
      </c>
      <c r="J16" s="1328" t="s">
        <v>1123</v>
      </c>
      <c r="K16" s="455" t="s">
        <v>55</v>
      </c>
      <c r="L16" s="447" t="s">
        <v>56</v>
      </c>
      <c r="M16" s="447">
        <v>26</v>
      </c>
      <c r="N16" s="447">
        <v>26</v>
      </c>
      <c r="O16" s="450">
        <v>26</v>
      </c>
      <c r="P16" s="450">
        <v>26</v>
      </c>
      <c r="Q16" s="450">
        <v>26</v>
      </c>
      <c r="R16" s="450">
        <v>26</v>
      </c>
      <c r="S16" s="451"/>
      <c r="T16" s="447">
        <f>R16</f>
        <v>26</v>
      </c>
      <c r="U16" s="452">
        <v>85000000</v>
      </c>
      <c r="V16" s="452">
        <v>87550000</v>
      </c>
      <c r="W16" s="452">
        <v>90176500</v>
      </c>
      <c r="X16" s="452">
        <v>92881795</v>
      </c>
      <c r="Y16" s="453">
        <f t="shared" si="0"/>
        <v>355608295</v>
      </c>
      <c r="Z16" s="2110"/>
      <c r="AA16" s="452"/>
      <c r="AB16" s="2169"/>
      <c r="AC16" s="454">
        <f t="shared" si="1"/>
        <v>0</v>
      </c>
      <c r="AD16" s="452">
        <v>355608295</v>
      </c>
      <c r="AE16" s="2169"/>
      <c r="AF16" s="452"/>
      <c r="AG16" s="452"/>
      <c r="AH16" s="2110"/>
      <c r="AI16" s="454">
        <f t="shared" si="2"/>
        <v>0</v>
      </c>
      <c r="AJ16" s="452"/>
      <c r="AK16" s="2110"/>
      <c r="AL16" s="451"/>
      <c r="AM16" s="452"/>
      <c r="AN16" s="2110"/>
      <c r="AP16" s="876">
        <f t="shared" si="4"/>
        <v>355608295</v>
      </c>
      <c r="AQ16" s="18" t="str">
        <f t="shared" si="3"/>
        <v>Bien</v>
      </c>
      <c r="AR16" s="1146" t="s">
        <v>1182</v>
      </c>
    </row>
    <row r="17" spans="1:44" s="340" customFormat="1" ht="90" customHeight="1" x14ac:dyDescent="0.2">
      <c r="A17" s="2048"/>
      <c r="B17" s="1917"/>
      <c r="C17" s="2214"/>
      <c r="D17" s="2214"/>
      <c r="E17" s="1918"/>
      <c r="F17" s="1325"/>
      <c r="G17" s="1325"/>
      <c r="H17" s="1327"/>
      <c r="I17" s="1325"/>
      <c r="J17" s="1325"/>
      <c r="K17" s="455" t="s">
        <v>57</v>
      </c>
      <c r="L17" s="447" t="s">
        <v>44</v>
      </c>
      <c r="M17" s="447">
        <v>41</v>
      </c>
      <c r="N17" s="447">
        <v>41</v>
      </c>
      <c r="O17" s="450">
        <v>41</v>
      </c>
      <c r="P17" s="450">
        <v>41</v>
      </c>
      <c r="Q17" s="450">
        <v>41</v>
      </c>
      <c r="R17" s="450">
        <v>41</v>
      </c>
      <c r="S17" s="451"/>
      <c r="T17" s="457">
        <v>41</v>
      </c>
      <c r="U17" s="452">
        <v>10000000</v>
      </c>
      <c r="V17" s="452">
        <v>10300000</v>
      </c>
      <c r="W17" s="452">
        <v>10609000</v>
      </c>
      <c r="X17" s="452">
        <v>10927270</v>
      </c>
      <c r="Y17" s="453">
        <f t="shared" si="0"/>
        <v>41836270</v>
      </c>
      <c r="Z17" s="2110"/>
      <c r="AA17" s="452">
        <v>41836270</v>
      </c>
      <c r="AB17" s="2169"/>
      <c r="AC17" s="454">
        <f t="shared" si="1"/>
        <v>0</v>
      </c>
      <c r="AD17" s="452"/>
      <c r="AE17" s="2169"/>
      <c r="AF17" s="452"/>
      <c r="AG17" s="452"/>
      <c r="AH17" s="2110"/>
      <c r="AI17" s="454">
        <f t="shared" si="2"/>
        <v>0</v>
      </c>
      <c r="AJ17" s="452"/>
      <c r="AK17" s="2110"/>
      <c r="AL17" s="451"/>
      <c r="AM17" s="452"/>
      <c r="AN17" s="2110"/>
      <c r="AP17" s="876">
        <f t="shared" si="4"/>
        <v>41836270</v>
      </c>
      <c r="AQ17" s="18" t="str">
        <f t="shared" si="3"/>
        <v>Bien</v>
      </c>
      <c r="AR17" s="1145" t="s">
        <v>1182</v>
      </c>
    </row>
    <row r="18" spans="1:44" s="340" customFormat="1" ht="72.75" customHeight="1" x14ac:dyDescent="0.2">
      <c r="A18" s="2048"/>
      <c r="B18" s="1917"/>
      <c r="C18" s="2214"/>
      <c r="D18" s="2214"/>
      <c r="E18" s="1918"/>
      <c r="F18" s="1325"/>
      <c r="G18" s="1325"/>
      <c r="H18" s="1327"/>
      <c r="I18" s="1325"/>
      <c r="J18" s="1325"/>
      <c r="K18" s="455" t="s">
        <v>58</v>
      </c>
      <c r="L18" s="447" t="s">
        <v>59</v>
      </c>
      <c r="M18" s="447">
        <v>3</v>
      </c>
      <c r="N18" s="447">
        <v>3</v>
      </c>
      <c r="O18" s="450">
        <v>3</v>
      </c>
      <c r="P18" s="450">
        <v>3</v>
      </c>
      <c r="Q18" s="450">
        <v>3</v>
      </c>
      <c r="R18" s="450">
        <v>3</v>
      </c>
      <c r="S18" s="451"/>
      <c r="T18" s="457">
        <f t="shared" ref="T18:T23" si="5">R18</f>
        <v>3</v>
      </c>
      <c r="U18" s="452">
        <v>45000000</v>
      </c>
      <c r="V18" s="452">
        <v>46350000</v>
      </c>
      <c r="W18" s="452">
        <v>47740500</v>
      </c>
      <c r="X18" s="452">
        <v>49172715</v>
      </c>
      <c r="Y18" s="453">
        <f t="shared" si="0"/>
        <v>188263215</v>
      </c>
      <c r="Z18" s="2110"/>
      <c r="AA18" s="452">
        <v>188263215</v>
      </c>
      <c r="AB18" s="2169"/>
      <c r="AC18" s="454">
        <f t="shared" si="1"/>
        <v>0</v>
      </c>
      <c r="AD18" s="452"/>
      <c r="AE18" s="2169"/>
      <c r="AF18" s="452"/>
      <c r="AG18" s="452"/>
      <c r="AH18" s="2110"/>
      <c r="AI18" s="454">
        <f t="shared" si="2"/>
        <v>0</v>
      </c>
      <c r="AJ18" s="452"/>
      <c r="AK18" s="2110"/>
      <c r="AL18" s="451"/>
      <c r="AM18" s="452"/>
      <c r="AN18" s="2110"/>
      <c r="AP18" s="876">
        <f t="shared" si="4"/>
        <v>188263215</v>
      </c>
      <c r="AQ18" s="18" t="str">
        <f t="shared" si="3"/>
        <v>Bien</v>
      </c>
      <c r="AR18" s="1145" t="s">
        <v>1182</v>
      </c>
    </row>
    <row r="19" spans="1:44" s="340" customFormat="1" ht="45" customHeight="1" x14ac:dyDescent="0.2">
      <c r="A19" s="2048"/>
      <c r="B19" s="1917"/>
      <c r="C19" s="2214"/>
      <c r="D19" s="2214"/>
      <c r="E19" s="1918"/>
      <c r="F19" s="1325"/>
      <c r="G19" s="1325"/>
      <c r="H19" s="1327"/>
      <c r="I19" s="1325"/>
      <c r="J19" s="1325"/>
      <c r="K19" s="455" t="s">
        <v>60</v>
      </c>
      <c r="L19" s="447" t="s">
        <v>44</v>
      </c>
      <c r="M19" s="447">
        <v>41</v>
      </c>
      <c r="N19" s="447">
        <v>41</v>
      </c>
      <c r="O19" s="450">
        <v>41</v>
      </c>
      <c r="P19" s="450">
        <v>41</v>
      </c>
      <c r="Q19" s="450">
        <v>41</v>
      </c>
      <c r="R19" s="450">
        <v>41</v>
      </c>
      <c r="S19" s="451"/>
      <c r="T19" s="457">
        <f t="shared" si="5"/>
        <v>41</v>
      </c>
      <c r="U19" s="452">
        <v>622281600</v>
      </c>
      <c r="V19" s="452">
        <v>640950048</v>
      </c>
      <c r="W19" s="452">
        <v>660178549.44000006</v>
      </c>
      <c r="X19" s="452">
        <v>679983905.92320001</v>
      </c>
      <c r="Y19" s="453">
        <f t="shared" si="0"/>
        <v>2603394103.3632002</v>
      </c>
      <c r="Z19" s="2110"/>
      <c r="AA19" s="452"/>
      <c r="AB19" s="2169"/>
      <c r="AC19" s="454">
        <f t="shared" si="1"/>
        <v>0</v>
      </c>
      <c r="AD19" s="452">
        <v>2603394103</v>
      </c>
      <c r="AE19" s="2169"/>
      <c r="AF19" s="452"/>
      <c r="AG19" s="452"/>
      <c r="AH19" s="2110"/>
      <c r="AI19" s="454">
        <f t="shared" si="2"/>
        <v>0</v>
      </c>
      <c r="AJ19" s="452"/>
      <c r="AK19" s="2110"/>
      <c r="AL19" s="451"/>
      <c r="AM19" s="452"/>
      <c r="AN19" s="2110"/>
      <c r="AP19" s="876">
        <f t="shared" si="4"/>
        <v>2603394103</v>
      </c>
      <c r="AQ19" s="18" t="str">
        <f t="shared" si="3"/>
        <v>Error</v>
      </c>
      <c r="AR19" s="1145" t="s">
        <v>1182</v>
      </c>
    </row>
    <row r="20" spans="1:44" s="340" customFormat="1" ht="63.75" x14ac:dyDescent="0.2">
      <c r="A20" s="2048"/>
      <c r="B20" s="1917"/>
      <c r="C20" s="2214"/>
      <c r="D20" s="2214"/>
      <c r="E20" s="1918"/>
      <c r="F20" s="1923" t="s">
        <v>61</v>
      </c>
      <c r="G20" s="1923" t="s">
        <v>44</v>
      </c>
      <c r="H20" s="1923">
        <v>41</v>
      </c>
      <c r="I20" s="1923">
        <v>41</v>
      </c>
      <c r="J20" s="1923" t="s">
        <v>1017</v>
      </c>
      <c r="K20" s="446" t="s">
        <v>855</v>
      </c>
      <c r="L20" s="447" t="s">
        <v>44</v>
      </c>
      <c r="M20" s="447">
        <v>30</v>
      </c>
      <c r="N20" s="447">
        <v>30</v>
      </c>
      <c r="O20" s="450">
        <v>30</v>
      </c>
      <c r="P20" s="450">
        <v>30</v>
      </c>
      <c r="Q20" s="450">
        <v>30</v>
      </c>
      <c r="R20" s="450">
        <v>30</v>
      </c>
      <c r="S20" s="451"/>
      <c r="T20" s="457">
        <f t="shared" si="5"/>
        <v>30</v>
      </c>
      <c r="U20" s="452">
        <v>25000000</v>
      </c>
      <c r="V20" s="452">
        <v>25750000</v>
      </c>
      <c r="W20" s="452">
        <v>26522500</v>
      </c>
      <c r="X20" s="452">
        <v>27318175</v>
      </c>
      <c r="Y20" s="453">
        <f t="shared" si="0"/>
        <v>104590675</v>
      </c>
      <c r="Z20" s="2110"/>
      <c r="AA20" s="452"/>
      <c r="AB20" s="2169"/>
      <c r="AC20" s="454">
        <f t="shared" si="1"/>
        <v>0</v>
      </c>
      <c r="AD20" s="452">
        <v>104590675</v>
      </c>
      <c r="AE20" s="2169"/>
      <c r="AF20" s="452"/>
      <c r="AG20" s="452"/>
      <c r="AH20" s="2110"/>
      <c r="AI20" s="454">
        <f t="shared" si="2"/>
        <v>0</v>
      </c>
      <c r="AJ20" s="452"/>
      <c r="AK20" s="2110"/>
      <c r="AL20" s="451"/>
      <c r="AM20" s="452"/>
      <c r="AN20" s="2110"/>
      <c r="AP20" s="876">
        <f t="shared" si="4"/>
        <v>104590675</v>
      </c>
      <c r="AQ20" s="18" t="str">
        <f t="shared" si="3"/>
        <v>Bien</v>
      </c>
      <c r="AR20" s="1145" t="s">
        <v>1182</v>
      </c>
    </row>
    <row r="21" spans="1:44" s="340" customFormat="1" ht="63.75" x14ac:dyDescent="0.2">
      <c r="A21" s="2048"/>
      <c r="B21" s="1917"/>
      <c r="C21" s="2214"/>
      <c r="D21" s="2214"/>
      <c r="E21" s="1918"/>
      <c r="F21" s="1924"/>
      <c r="G21" s="1924"/>
      <c r="H21" s="1924"/>
      <c r="I21" s="1924"/>
      <c r="J21" s="1924"/>
      <c r="K21" s="446" t="s">
        <v>62</v>
      </c>
      <c r="L21" s="447" t="s">
        <v>44</v>
      </c>
      <c r="M21" s="447">
        <v>11</v>
      </c>
      <c r="N21" s="447">
        <v>11</v>
      </c>
      <c r="O21" s="450">
        <v>11</v>
      </c>
      <c r="P21" s="450">
        <v>11</v>
      </c>
      <c r="Q21" s="450">
        <v>11</v>
      </c>
      <c r="R21" s="450">
        <v>11</v>
      </c>
      <c r="S21" s="451"/>
      <c r="T21" s="457">
        <f t="shared" si="5"/>
        <v>11</v>
      </c>
      <c r="U21" s="452">
        <v>13245595</v>
      </c>
      <c r="V21" s="452">
        <v>20600000</v>
      </c>
      <c r="W21" s="452">
        <v>21218000</v>
      </c>
      <c r="X21" s="452">
        <v>21854540</v>
      </c>
      <c r="Y21" s="453">
        <f t="shared" si="0"/>
        <v>76918135</v>
      </c>
      <c r="Z21" s="2110"/>
      <c r="AA21" s="452">
        <v>76918135</v>
      </c>
      <c r="AB21" s="2169"/>
      <c r="AC21" s="454">
        <f t="shared" si="1"/>
        <v>0</v>
      </c>
      <c r="AD21" s="452"/>
      <c r="AE21" s="2169"/>
      <c r="AF21" s="452"/>
      <c r="AG21" s="452"/>
      <c r="AH21" s="2110"/>
      <c r="AI21" s="454">
        <f t="shared" si="2"/>
        <v>0</v>
      </c>
      <c r="AJ21" s="452"/>
      <c r="AK21" s="2110"/>
      <c r="AL21" s="451"/>
      <c r="AM21" s="452"/>
      <c r="AN21" s="2110"/>
      <c r="AP21" s="876">
        <f t="shared" si="4"/>
        <v>76918135</v>
      </c>
      <c r="AQ21" s="18" t="str">
        <f t="shared" si="3"/>
        <v>Bien</v>
      </c>
      <c r="AR21" s="1145" t="s">
        <v>1182</v>
      </c>
    </row>
    <row r="22" spans="1:44" s="340" customFormat="1" ht="38.25" x14ac:dyDescent="0.2">
      <c r="A22" s="2048"/>
      <c r="B22" s="1917"/>
      <c r="C22" s="2214"/>
      <c r="D22" s="2214"/>
      <c r="E22" s="1918"/>
      <c r="F22" s="1924"/>
      <c r="G22" s="1924"/>
      <c r="H22" s="1924"/>
      <c r="I22" s="1924"/>
      <c r="J22" s="1924"/>
      <c r="K22" s="446" t="s">
        <v>63</v>
      </c>
      <c r="L22" s="447" t="s">
        <v>64</v>
      </c>
      <c r="M22" s="447" t="s">
        <v>107</v>
      </c>
      <c r="N22" s="447">
        <v>41</v>
      </c>
      <c r="O22" s="450">
        <v>41</v>
      </c>
      <c r="P22" s="450">
        <v>41</v>
      </c>
      <c r="Q22" s="450">
        <v>41</v>
      </c>
      <c r="R22" s="450">
        <v>41</v>
      </c>
      <c r="S22" s="451"/>
      <c r="T22" s="457">
        <f t="shared" si="5"/>
        <v>41</v>
      </c>
      <c r="U22" s="452">
        <v>25000000</v>
      </c>
      <c r="V22" s="452">
        <v>25750000</v>
      </c>
      <c r="W22" s="452">
        <v>26522500</v>
      </c>
      <c r="X22" s="452">
        <v>27318175</v>
      </c>
      <c r="Y22" s="453">
        <f t="shared" si="0"/>
        <v>104590675</v>
      </c>
      <c r="Z22" s="2110"/>
      <c r="AA22" s="452"/>
      <c r="AB22" s="2169"/>
      <c r="AC22" s="454">
        <f t="shared" si="1"/>
        <v>0</v>
      </c>
      <c r="AD22" s="452">
        <v>104590675</v>
      </c>
      <c r="AE22" s="2169"/>
      <c r="AF22" s="452"/>
      <c r="AG22" s="452"/>
      <c r="AH22" s="2110"/>
      <c r="AI22" s="454">
        <f t="shared" si="2"/>
        <v>0</v>
      </c>
      <c r="AJ22" s="452"/>
      <c r="AK22" s="2110"/>
      <c r="AL22" s="451"/>
      <c r="AM22" s="452"/>
      <c r="AN22" s="2110"/>
      <c r="AP22" s="876">
        <f t="shared" si="4"/>
        <v>104590675</v>
      </c>
      <c r="AQ22" s="18" t="str">
        <f t="shared" si="3"/>
        <v>Bien</v>
      </c>
      <c r="AR22" s="1146" t="s">
        <v>1182</v>
      </c>
    </row>
    <row r="23" spans="1:44" s="340" customFormat="1" ht="38.25" x14ac:dyDescent="0.2">
      <c r="A23" s="2048"/>
      <c r="B23" s="1917"/>
      <c r="C23" s="2214"/>
      <c r="D23" s="2214"/>
      <c r="E23" s="1918"/>
      <c r="F23" s="1924"/>
      <c r="G23" s="1924"/>
      <c r="H23" s="1924"/>
      <c r="I23" s="1924"/>
      <c r="J23" s="1924"/>
      <c r="K23" s="446" t="s">
        <v>856</v>
      </c>
      <c r="L23" s="447" t="s">
        <v>65</v>
      </c>
      <c r="M23" s="447">
        <v>15</v>
      </c>
      <c r="N23" s="447">
        <v>15</v>
      </c>
      <c r="O23" s="450">
        <v>15</v>
      </c>
      <c r="P23" s="450">
        <v>15</v>
      </c>
      <c r="Q23" s="450">
        <v>15</v>
      </c>
      <c r="R23" s="450">
        <v>15</v>
      </c>
      <c r="S23" s="451"/>
      <c r="T23" s="457">
        <f t="shared" si="5"/>
        <v>15</v>
      </c>
      <c r="U23" s="452">
        <f>15000000+20000000</f>
        <v>35000000</v>
      </c>
      <c r="V23" s="452">
        <f>26050000+20600000</f>
        <v>46650000</v>
      </c>
      <c r="W23" s="452">
        <f>27131500+21218000</f>
        <v>48349500</v>
      </c>
      <c r="X23" s="452">
        <f>27854540+21854540</f>
        <v>49709080</v>
      </c>
      <c r="Y23" s="453">
        <f t="shared" si="0"/>
        <v>179708580</v>
      </c>
      <c r="Z23" s="2110"/>
      <c r="AA23" s="452">
        <v>96036040</v>
      </c>
      <c r="AB23" s="2169"/>
      <c r="AC23" s="454">
        <f t="shared" si="1"/>
        <v>0</v>
      </c>
      <c r="AD23" s="452">
        <v>83672540</v>
      </c>
      <c r="AE23" s="2169"/>
      <c r="AF23" s="452"/>
      <c r="AG23" s="452"/>
      <c r="AH23" s="2110"/>
      <c r="AI23" s="454">
        <f t="shared" si="2"/>
        <v>0</v>
      </c>
      <c r="AJ23" s="452"/>
      <c r="AK23" s="2110"/>
      <c r="AL23" s="451"/>
      <c r="AM23" s="452"/>
      <c r="AN23" s="2110"/>
      <c r="AP23" s="876">
        <f t="shared" si="4"/>
        <v>179708580</v>
      </c>
      <c r="AQ23" s="18" t="str">
        <f t="shared" si="3"/>
        <v>Bien</v>
      </c>
      <c r="AR23" s="1145" t="s">
        <v>1182</v>
      </c>
    </row>
    <row r="24" spans="1:44" s="340" customFormat="1" ht="76.5" x14ac:dyDescent="0.2">
      <c r="A24" s="2048"/>
      <c r="B24" s="1917"/>
      <c r="C24" s="2214"/>
      <c r="D24" s="2214"/>
      <c r="E24" s="1918"/>
      <c r="F24" s="1925"/>
      <c r="G24" s="1925"/>
      <c r="H24" s="1925"/>
      <c r="I24" s="1925"/>
      <c r="J24" s="1925"/>
      <c r="K24" s="461" t="s">
        <v>1018</v>
      </c>
      <c r="L24" s="447" t="s">
        <v>93</v>
      </c>
      <c r="M24" s="447">
        <v>1076</v>
      </c>
      <c r="N24" s="447">
        <v>1076</v>
      </c>
      <c r="O24" s="450">
        <v>1076</v>
      </c>
      <c r="P24" s="450">
        <v>1076</v>
      </c>
      <c r="Q24" s="450">
        <v>1076</v>
      </c>
      <c r="R24" s="450">
        <v>1076</v>
      </c>
      <c r="S24" s="451"/>
      <c r="T24" s="447">
        <f>+R24</f>
        <v>1076</v>
      </c>
      <c r="U24" s="452">
        <v>514000000</v>
      </c>
      <c r="V24" s="452">
        <v>529420000</v>
      </c>
      <c r="W24" s="452">
        <v>545302600</v>
      </c>
      <c r="X24" s="452">
        <v>561661678</v>
      </c>
      <c r="Y24" s="453">
        <f t="shared" si="0"/>
        <v>2150384278</v>
      </c>
      <c r="Z24" s="2110"/>
      <c r="AA24" s="452"/>
      <c r="AB24" s="2169"/>
      <c r="AC24" s="454">
        <f>+AB24/Y24</f>
        <v>0</v>
      </c>
      <c r="AD24" s="452">
        <v>2150384278</v>
      </c>
      <c r="AE24" s="2169"/>
      <c r="AF24" s="452"/>
      <c r="AG24" s="452"/>
      <c r="AH24" s="2110"/>
      <c r="AI24" s="454">
        <f>+AH24/Y24</f>
        <v>0</v>
      </c>
      <c r="AJ24" s="452"/>
      <c r="AK24" s="2110"/>
      <c r="AL24" s="451"/>
      <c r="AM24" s="452"/>
      <c r="AN24" s="2110"/>
      <c r="AP24" s="876">
        <f t="shared" si="4"/>
        <v>2150384278</v>
      </c>
      <c r="AQ24" s="18" t="str">
        <f t="shared" si="3"/>
        <v>Bien</v>
      </c>
      <c r="AR24" s="1145" t="s">
        <v>1182</v>
      </c>
    </row>
    <row r="25" spans="1:44" s="340" customFormat="1" ht="90" customHeight="1" x14ac:dyDescent="0.2">
      <c r="A25" s="2048"/>
      <c r="B25" s="1917"/>
      <c r="C25" s="2214"/>
      <c r="D25" s="2214"/>
      <c r="E25" s="1918"/>
      <c r="F25" s="1923" t="s">
        <v>66</v>
      </c>
      <c r="G25" s="1926" t="s">
        <v>67</v>
      </c>
      <c r="H25" s="1926">
        <v>1</v>
      </c>
      <c r="I25" s="1926">
        <v>1</v>
      </c>
      <c r="J25" s="1929" t="s">
        <v>1019</v>
      </c>
      <c r="K25" s="455" t="s">
        <v>68</v>
      </c>
      <c r="L25" s="447" t="s">
        <v>39</v>
      </c>
      <c r="M25" s="447">
        <v>0</v>
      </c>
      <c r="N25" s="448">
        <v>1</v>
      </c>
      <c r="O25" s="456">
        <v>0.4</v>
      </c>
      <c r="P25" s="456">
        <v>0.2</v>
      </c>
      <c r="Q25" s="456">
        <v>0.2</v>
      </c>
      <c r="R25" s="456">
        <v>0.2</v>
      </c>
      <c r="S25" s="451"/>
      <c r="T25" s="448">
        <f>+SUM(O25:R25)</f>
        <v>1</v>
      </c>
      <c r="U25" s="452">
        <v>25000000</v>
      </c>
      <c r="V25" s="452">
        <v>25750000</v>
      </c>
      <c r="W25" s="452">
        <v>26522500</v>
      </c>
      <c r="X25" s="452">
        <v>27318175</v>
      </c>
      <c r="Y25" s="453">
        <f t="shared" si="0"/>
        <v>104590675</v>
      </c>
      <c r="Z25" s="2110"/>
      <c r="AA25" s="452"/>
      <c r="AB25" s="2169"/>
      <c r="AC25" s="454">
        <f t="shared" si="1"/>
        <v>0</v>
      </c>
      <c r="AD25" s="452">
        <v>104590675</v>
      </c>
      <c r="AE25" s="2169"/>
      <c r="AF25" s="452"/>
      <c r="AG25" s="452"/>
      <c r="AH25" s="2110"/>
      <c r="AI25" s="454">
        <f t="shared" si="2"/>
        <v>0</v>
      </c>
      <c r="AJ25" s="452"/>
      <c r="AK25" s="2110"/>
      <c r="AL25" s="451"/>
      <c r="AM25" s="452"/>
      <c r="AN25" s="2110"/>
      <c r="AP25" s="876">
        <f t="shared" si="4"/>
        <v>104590675</v>
      </c>
      <c r="AQ25" s="18" t="str">
        <f t="shared" si="3"/>
        <v>Bien</v>
      </c>
      <c r="AR25" s="1146" t="s">
        <v>1182</v>
      </c>
    </row>
    <row r="26" spans="1:44" s="340" customFormat="1" ht="114.75" x14ac:dyDescent="0.2">
      <c r="A26" s="2048"/>
      <c r="B26" s="1917"/>
      <c r="C26" s="2214"/>
      <c r="D26" s="2214"/>
      <c r="E26" s="1918"/>
      <c r="F26" s="1924"/>
      <c r="G26" s="1927"/>
      <c r="H26" s="1927"/>
      <c r="I26" s="1927"/>
      <c r="J26" s="1930"/>
      <c r="K26" s="446" t="s">
        <v>1040</v>
      </c>
      <c r="L26" s="447" t="s">
        <v>44</v>
      </c>
      <c r="M26" s="447">
        <v>41</v>
      </c>
      <c r="N26" s="447">
        <v>41</v>
      </c>
      <c r="O26" s="450">
        <v>41</v>
      </c>
      <c r="P26" s="450">
        <v>41</v>
      </c>
      <c r="Q26" s="450">
        <v>41</v>
      </c>
      <c r="R26" s="450">
        <v>41</v>
      </c>
      <c r="S26" s="451"/>
      <c r="T26" s="457">
        <f>R26</f>
        <v>41</v>
      </c>
      <c r="U26" s="452">
        <f>129927540+169000000</f>
        <v>298927540</v>
      </c>
      <c r="V26" s="452">
        <f>190630366+174070000</f>
        <v>364700366</v>
      </c>
      <c r="W26" s="452">
        <f>198989277+179292100</f>
        <v>378281377</v>
      </c>
      <c r="X26" s="452">
        <f>204508956+184670863</f>
        <v>389179819</v>
      </c>
      <c r="Y26" s="453">
        <f t="shared" si="0"/>
        <v>1431089102</v>
      </c>
      <c r="Z26" s="2110"/>
      <c r="AA26" s="452">
        <v>724056139</v>
      </c>
      <c r="AB26" s="2169"/>
      <c r="AC26" s="454">
        <f t="shared" si="1"/>
        <v>0</v>
      </c>
      <c r="AD26" s="452">
        <v>707032963</v>
      </c>
      <c r="AE26" s="2169"/>
      <c r="AF26" s="452"/>
      <c r="AG26" s="452"/>
      <c r="AH26" s="2110"/>
      <c r="AI26" s="454">
        <f t="shared" si="2"/>
        <v>0</v>
      </c>
      <c r="AJ26" s="452"/>
      <c r="AK26" s="2110"/>
      <c r="AL26" s="451"/>
      <c r="AM26" s="452"/>
      <c r="AN26" s="2110"/>
      <c r="AP26" s="876">
        <f t="shared" si="4"/>
        <v>1431089102</v>
      </c>
      <c r="AQ26" s="18" t="str">
        <f t="shared" si="3"/>
        <v>Bien</v>
      </c>
      <c r="AR26" s="1145" t="s">
        <v>1182</v>
      </c>
    </row>
    <row r="27" spans="1:44" s="340" customFormat="1" ht="12.75" x14ac:dyDescent="0.2">
      <c r="A27" s="2048"/>
      <c r="B27" s="1917"/>
      <c r="C27" s="2214"/>
      <c r="D27" s="2214"/>
      <c r="E27" s="1918"/>
      <c r="F27" s="1924"/>
      <c r="G27" s="1927"/>
      <c r="H27" s="1927"/>
      <c r="I27" s="1927"/>
      <c r="J27" s="1931"/>
      <c r="K27" s="455" t="s">
        <v>69</v>
      </c>
      <c r="L27" s="462" t="s">
        <v>70</v>
      </c>
      <c r="M27" s="447">
        <v>3</v>
      </c>
      <c r="N27" s="447">
        <v>12</v>
      </c>
      <c r="O27" s="450">
        <v>3</v>
      </c>
      <c r="P27" s="450">
        <v>3</v>
      </c>
      <c r="Q27" s="450">
        <v>3</v>
      </c>
      <c r="R27" s="450">
        <v>3</v>
      </c>
      <c r="S27" s="451"/>
      <c r="T27" s="447">
        <f>+SUM(O27:R27)</f>
        <v>12</v>
      </c>
      <c r="U27" s="452">
        <v>45000000</v>
      </c>
      <c r="V27" s="452">
        <v>46350000</v>
      </c>
      <c r="W27" s="452">
        <v>47740500</v>
      </c>
      <c r="X27" s="452">
        <v>49172715</v>
      </c>
      <c r="Y27" s="453">
        <f t="shared" si="0"/>
        <v>188263215</v>
      </c>
      <c r="Z27" s="2110"/>
      <c r="AA27" s="452"/>
      <c r="AB27" s="2169"/>
      <c r="AC27" s="454">
        <f t="shared" si="1"/>
        <v>0</v>
      </c>
      <c r="AD27" s="452">
        <v>188263215</v>
      </c>
      <c r="AE27" s="2169"/>
      <c r="AF27" s="452"/>
      <c r="AG27" s="452"/>
      <c r="AH27" s="2110"/>
      <c r="AI27" s="454">
        <f t="shared" si="2"/>
        <v>0</v>
      </c>
      <c r="AJ27" s="452"/>
      <c r="AK27" s="2110"/>
      <c r="AL27" s="451"/>
      <c r="AM27" s="452"/>
      <c r="AN27" s="2110"/>
      <c r="AP27" s="876">
        <f t="shared" si="4"/>
        <v>188263215</v>
      </c>
      <c r="AQ27" s="18" t="str">
        <f t="shared" si="3"/>
        <v>Bien</v>
      </c>
      <c r="AR27" s="1145" t="s">
        <v>1182</v>
      </c>
    </row>
    <row r="28" spans="1:44" s="340" customFormat="1" ht="38.25" x14ac:dyDescent="0.2">
      <c r="A28" s="2048"/>
      <c r="B28" s="1917"/>
      <c r="C28" s="2214"/>
      <c r="D28" s="2214"/>
      <c r="E28" s="1918"/>
      <c r="F28" s="1925"/>
      <c r="G28" s="1928"/>
      <c r="H28" s="1928"/>
      <c r="I28" s="1928"/>
      <c r="J28" s="1132" t="s">
        <v>857</v>
      </c>
      <c r="K28" s="1133" t="s">
        <v>96</v>
      </c>
      <c r="L28" s="447" t="s">
        <v>97</v>
      </c>
      <c r="M28" s="447">
        <v>41</v>
      </c>
      <c r="N28" s="447">
        <v>41</v>
      </c>
      <c r="O28" s="450">
        <v>41</v>
      </c>
      <c r="P28" s="450">
        <v>41</v>
      </c>
      <c r="Q28" s="450">
        <v>41</v>
      </c>
      <c r="R28" s="450">
        <v>41</v>
      </c>
      <c r="S28" s="451"/>
      <c r="T28" s="447">
        <f>+R28</f>
        <v>41</v>
      </c>
      <c r="U28" s="452">
        <v>50000000</v>
      </c>
      <c r="V28" s="452">
        <v>51500000</v>
      </c>
      <c r="W28" s="452">
        <v>53045000</v>
      </c>
      <c r="X28" s="463">
        <v>54636350</v>
      </c>
      <c r="Y28" s="453">
        <f t="shared" si="0"/>
        <v>209181350</v>
      </c>
      <c r="Z28" s="2110"/>
      <c r="AA28" s="452">
        <v>209181350</v>
      </c>
      <c r="AB28" s="2169"/>
      <c r="AC28" s="454">
        <f>+AB28/Y28</f>
        <v>0</v>
      </c>
      <c r="AD28" s="452"/>
      <c r="AE28" s="2169"/>
      <c r="AF28" s="452"/>
      <c r="AG28" s="452"/>
      <c r="AH28" s="2110"/>
      <c r="AI28" s="454">
        <f>+AH28/Y28</f>
        <v>0</v>
      </c>
      <c r="AJ28" s="452"/>
      <c r="AK28" s="2110"/>
      <c r="AL28" s="451"/>
      <c r="AM28" s="452"/>
      <c r="AN28" s="2110"/>
      <c r="AP28" s="876">
        <f t="shared" si="4"/>
        <v>209181350</v>
      </c>
      <c r="AQ28" s="18" t="str">
        <f t="shared" si="3"/>
        <v>Bien</v>
      </c>
      <c r="AR28" s="1145" t="s">
        <v>1182</v>
      </c>
    </row>
    <row r="29" spans="1:44" s="340" customFormat="1" ht="25.5" x14ac:dyDescent="0.2">
      <c r="A29" s="2048"/>
      <c r="B29" s="1917"/>
      <c r="C29" s="2214"/>
      <c r="D29" s="2214"/>
      <c r="E29" s="1918"/>
      <c r="F29" s="2129" t="s">
        <v>71</v>
      </c>
      <c r="G29" s="1926" t="s">
        <v>67</v>
      </c>
      <c r="H29" s="1926">
        <v>0.1</v>
      </c>
      <c r="I29" s="1926">
        <v>1</v>
      </c>
      <c r="J29" s="2219" t="s">
        <v>858</v>
      </c>
      <c r="K29" s="455" t="s">
        <v>1069</v>
      </c>
      <c r="L29" s="850" t="s">
        <v>660</v>
      </c>
      <c r="M29" s="849">
        <v>0.1</v>
      </c>
      <c r="N29" s="849">
        <v>1</v>
      </c>
      <c r="O29" s="849">
        <v>0.9</v>
      </c>
      <c r="P29" s="849"/>
      <c r="Q29" s="849"/>
      <c r="R29" s="849"/>
      <c r="S29" s="451"/>
      <c r="T29" s="448">
        <f>+SUM(O29:R29)</f>
        <v>0.9</v>
      </c>
      <c r="U29" s="452">
        <v>20611970</v>
      </c>
      <c r="V29" s="452"/>
      <c r="W29" s="452"/>
      <c r="X29" s="452"/>
      <c r="Y29" s="453">
        <f t="shared" si="0"/>
        <v>20611970</v>
      </c>
      <c r="Z29" s="2110"/>
      <c r="AA29" s="452">
        <f>+Y29</f>
        <v>20611970</v>
      </c>
      <c r="AB29" s="2169"/>
      <c r="AC29" s="454">
        <f t="shared" si="1"/>
        <v>0</v>
      </c>
      <c r="AD29" s="452"/>
      <c r="AE29" s="2169"/>
      <c r="AF29" s="452"/>
      <c r="AG29" s="452"/>
      <c r="AH29" s="2110"/>
      <c r="AI29" s="454">
        <f t="shared" si="2"/>
        <v>0</v>
      </c>
      <c r="AJ29" s="452"/>
      <c r="AK29" s="2110"/>
      <c r="AL29" s="451"/>
      <c r="AM29" s="452"/>
      <c r="AN29" s="2110"/>
      <c r="AP29" s="876">
        <f>+AA29+AD29+AG29+AJ29+AM29</f>
        <v>20611970</v>
      </c>
      <c r="AQ29" s="18" t="str">
        <f t="shared" si="3"/>
        <v>Bien</v>
      </c>
      <c r="AR29" s="1145" t="s">
        <v>1182</v>
      </c>
    </row>
    <row r="30" spans="1:44" s="340" customFormat="1" ht="51.75" customHeight="1" x14ac:dyDescent="0.2">
      <c r="A30" s="2048"/>
      <c r="B30" s="1917"/>
      <c r="C30" s="2214"/>
      <c r="D30" s="2214"/>
      <c r="E30" s="1918"/>
      <c r="F30" s="2130"/>
      <c r="G30" s="1928"/>
      <c r="H30" s="1928"/>
      <c r="I30" s="1928"/>
      <c r="J30" s="2220"/>
      <c r="K30" s="848" t="s">
        <v>1070</v>
      </c>
      <c r="L30" s="850" t="s">
        <v>39</v>
      </c>
      <c r="M30" s="849">
        <v>0</v>
      </c>
      <c r="N30" s="849">
        <v>1</v>
      </c>
      <c r="O30" s="849">
        <v>0.25</v>
      </c>
      <c r="P30" s="849">
        <v>0.25</v>
      </c>
      <c r="Q30" s="849">
        <v>0.25</v>
      </c>
      <c r="R30" s="849">
        <v>0.25</v>
      </c>
      <c r="S30" s="451"/>
      <c r="T30" s="849"/>
      <c r="U30" s="452">
        <v>25000000</v>
      </c>
      <c r="V30" s="452">
        <v>62430329</v>
      </c>
      <c r="W30" s="452">
        <v>64303239</v>
      </c>
      <c r="X30" s="452">
        <v>66232336</v>
      </c>
      <c r="Y30" s="453">
        <f t="shared" si="0"/>
        <v>217965904</v>
      </c>
      <c r="Z30" s="2110"/>
      <c r="AA30" s="452">
        <f>+Y30-AD30</f>
        <v>113375229</v>
      </c>
      <c r="AB30" s="2169"/>
      <c r="AC30" s="454">
        <f t="shared" si="1"/>
        <v>0</v>
      </c>
      <c r="AD30" s="452">
        <v>104590675</v>
      </c>
      <c r="AE30" s="2169"/>
      <c r="AF30" s="452"/>
      <c r="AG30" s="452"/>
      <c r="AH30" s="2110"/>
      <c r="AI30" s="454">
        <f t="shared" si="2"/>
        <v>0</v>
      </c>
      <c r="AJ30" s="452"/>
      <c r="AK30" s="2110"/>
      <c r="AL30" s="451"/>
      <c r="AM30" s="452"/>
      <c r="AN30" s="2110"/>
      <c r="AP30" s="876">
        <f>+AA30+AD30+AG30+AJ30+AM30</f>
        <v>217965904</v>
      </c>
      <c r="AQ30" s="18" t="str">
        <f t="shared" si="3"/>
        <v>Bien</v>
      </c>
      <c r="AR30" s="1145" t="s">
        <v>1182</v>
      </c>
    </row>
    <row r="31" spans="1:44" s="340" customFormat="1" ht="45" customHeight="1" x14ac:dyDescent="0.2">
      <c r="A31" s="2048"/>
      <c r="B31" s="1917"/>
      <c r="C31" s="2214"/>
      <c r="D31" s="2214"/>
      <c r="E31" s="1918"/>
      <c r="F31" s="1324" t="s">
        <v>72</v>
      </c>
      <c r="G31" s="1326" t="s">
        <v>39</v>
      </c>
      <c r="H31" s="1326">
        <v>0.25</v>
      </c>
      <c r="I31" s="1328">
        <v>1</v>
      </c>
      <c r="J31" s="1328" t="s">
        <v>1124</v>
      </c>
      <c r="K31" s="455" t="s">
        <v>73</v>
      </c>
      <c r="L31" s="447" t="s">
        <v>44</v>
      </c>
      <c r="M31" s="447">
        <v>8</v>
      </c>
      <c r="N31" s="447">
        <v>33</v>
      </c>
      <c r="O31" s="450">
        <v>8</v>
      </c>
      <c r="P31" s="450">
        <v>8</v>
      </c>
      <c r="Q31" s="450">
        <v>9</v>
      </c>
      <c r="R31" s="450">
        <v>8</v>
      </c>
      <c r="S31" s="451"/>
      <c r="T31" s="447">
        <f>+SUM(O31:R31)</f>
        <v>33</v>
      </c>
      <c r="U31" s="452">
        <f>14000000+20000000</f>
        <v>34000000</v>
      </c>
      <c r="V31" s="452">
        <f>20600000+20600000</f>
        <v>41200000</v>
      </c>
      <c r="W31" s="452">
        <f>21218000+21218000</f>
        <v>42436000</v>
      </c>
      <c r="X31" s="452">
        <f>21854540+21854540</f>
        <v>43709080</v>
      </c>
      <c r="Y31" s="453">
        <f t="shared" si="0"/>
        <v>161345080</v>
      </c>
      <c r="Z31" s="2110"/>
      <c r="AA31" s="452">
        <v>77672540</v>
      </c>
      <c r="AB31" s="2169"/>
      <c r="AC31" s="454">
        <f t="shared" si="1"/>
        <v>0</v>
      </c>
      <c r="AD31" s="452">
        <v>83672540</v>
      </c>
      <c r="AE31" s="2169"/>
      <c r="AF31" s="452"/>
      <c r="AG31" s="452"/>
      <c r="AH31" s="2110"/>
      <c r="AI31" s="454">
        <f t="shared" si="2"/>
        <v>0</v>
      </c>
      <c r="AJ31" s="452"/>
      <c r="AK31" s="2110"/>
      <c r="AL31" s="451"/>
      <c r="AM31" s="452"/>
      <c r="AN31" s="2110"/>
      <c r="AP31" s="876">
        <f t="shared" si="4"/>
        <v>161345080</v>
      </c>
      <c r="AQ31" s="18" t="str">
        <f t="shared" si="3"/>
        <v>Bien</v>
      </c>
      <c r="AR31" s="1146" t="s">
        <v>1182</v>
      </c>
    </row>
    <row r="32" spans="1:44" s="340" customFormat="1" ht="25.5" x14ac:dyDescent="0.2">
      <c r="A32" s="2048"/>
      <c r="B32" s="1917"/>
      <c r="C32" s="2214"/>
      <c r="D32" s="2214"/>
      <c r="E32" s="1918"/>
      <c r="F32" s="1325"/>
      <c r="G32" s="1325"/>
      <c r="H32" s="1327"/>
      <c r="I32" s="1325"/>
      <c r="J32" s="1325"/>
      <c r="K32" s="455" t="s">
        <v>74</v>
      </c>
      <c r="L32" s="447" t="s">
        <v>44</v>
      </c>
      <c r="M32" s="447">
        <v>41</v>
      </c>
      <c r="N32" s="447">
        <v>41</v>
      </c>
      <c r="O32" s="450">
        <v>41</v>
      </c>
      <c r="P32" s="450">
        <v>41</v>
      </c>
      <c r="Q32" s="450">
        <v>41</v>
      </c>
      <c r="R32" s="450">
        <v>41</v>
      </c>
      <c r="S32" s="451"/>
      <c r="T32" s="457">
        <f>R32</f>
        <v>41</v>
      </c>
      <c r="U32" s="452">
        <f>20000000+25000000</f>
        <v>45000000</v>
      </c>
      <c r="V32" s="452">
        <f>25750000+25750000</f>
        <v>51500000</v>
      </c>
      <c r="W32" s="452">
        <f>26522500+26522500</f>
        <v>53045000</v>
      </c>
      <c r="X32" s="452">
        <f>27318175+27318175</f>
        <v>54636350</v>
      </c>
      <c r="Y32" s="453">
        <f t="shared" si="0"/>
        <v>204181350</v>
      </c>
      <c r="Z32" s="2110"/>
      <c r="AA32" s="452">
        <v>99590675</v>
      </c>
      <c r="AB32" s="2169"/>
      <c r="AC32" s="454">
        <f t="shared" si="1"/>
        <v>0</v>
      </c>
      <c r="AD32" s="452">
        <v>104590675</v>
      </c>
      <c r="AE32" s="2169"/>
      <c r="AF32" s="452"/>
      <c r="AG32" s="452"/>
      <c r="AH32" s="2110"/>
      <c r="AI32" s="454">
        <f t="shared" si="2"/>
        <v>0</v>
      </c>
      <c r="AJ32" s="452"/>
      <c r="AK32" s="2110"/>
      <c r="AL32" s="451"/>
      <c r="AM32" s="452"/>
      <c r="AN32" s="2110"/>
      <c r="AP32" s="876">
        <f t="shared" si="4"/>
        <v>204181350</v>
      </c>
      <c r="AQ32" s="18" t="str">
        <f t="shared" si="3"/>
        <v>Bien</v>
      </c>
      <c r="AR32" s="1145" t="s">
        <v>1182</v>
      </c>
    </row>
    <row r="33" spans="1:44" s="340" customFormat="1" ht="25.5" x14ac:dyDescent="0.2">
      <c r="A33" s="2048"/>
      <c r="B33" s="1917"/>
      <c r="C33" s="2214"/>
      <c r="D33" s="2214"/>
      <c r="E33" s="1918"/>
      <c r="F33" s="1324" t="s">
        <v>75</v>
      </c>
      <c r="G33" s="1326" t="s">
        <v>39</v>
      </c>
      <c r="H33" s="1326">
        <v>1</v>
      </c>
      <c r="I33" s="1328">
        <v>1</v>
      </c>
      <c r="J33" s="1328" t="s">
        <v>1125</v>
      </c>
      <c r="K33" s="455" t="s">
        <v>76</v>
      </c>
      <c r="L33" s="447" t="s">
        <v>859</v>
      </c>
      <c r="M33" s="447">
        <v>0</v>
      </c>
      <c r="N33" s="447">
        <v>4</v>
      </c>
      <c r="O33" s="450">
        <v>1</v>
      </c>
      <c r="P33" s="450">
        <v>1</v>
      </c>
      <c r="Q33" s="450">
        <v>1</v>
      </c>
      <c r="R33" s="450">
        <v>1</v>
      </c>
      <c r="S33" s="451"/>
      <c r="T33" s="447">
        <f>+SUM(O33:R33)</f>
        <v>4</v>
      </c>
      <c r="U33" s="452">
        <v>8000000</v>
      </c>
      <c r="V33" s="452">
        <v>8240000</v>
      </c>
      <c r="W33" s="452">
        <v>8487200</v>
      </c>
      <c r="X33" s="452">
        <v>8741816</v>
      </c>
      <c r="Y33" s="453">
        <f t="shared" si="0"/>
        <v>33469016</v>
      </c>
      <c r="Z33" s="2110"/>
      <c r="AA33" s="452"/>
      <c r="AB33" s="2169"/>
      <c r="AC33" s="454">
        <f t="shared" si="1"/>
        <v>0</v>
      </c>
      <c r="AD33" s="452">
        <v>33469016</v>
      </c>
      <c r="AE33" s="2169"/>
      <c r="AF33" s="452"/>
      <c r="AG33" s="452"/>
      <c r="AH33" s="2110"/>
      <c r="AI33" s="454">
        <f t="shared" si="2"/>
        <v>0</v>
      </c>
      <c r="AJ33" s="452"/>
      <c r="AK33" s="2110"/>
      <c r="AL33" s="451"/>
      <c r="AM33" s="452"/>
      <c r="AN33" s="2110"/>
      <c r="AP33" s="876">
        <f t="shared" si="4"/>
        <v>33469016</v>
      </c>
      <c r="AQ33" s="18" t="str">
        <f t="shared" si="3"/>
        <v>Bien</v>
      </c>
      <c r="AR33" s="1145" t="s">
        <v>1182</v>
      </c>
    </row>
    <row r="34" spans="1:44" s="340" customFormat="1" ht="25.5" x14ac:dyDescent="0.2">
      <c r="A34" s="2048"/>
      <c r="B34" s="1917"/>
      <c r="C34" s="2214"/>
      <c r="D34" s="2214"/>
      <c r="E34" s="1918"/>
      <c r="F34" s="1325"/>
      <c r="G34" s="1325"/>
      <c r="H34" s="1327"/>
      <c r="I34" s="1325"/>
      <c r="J34" s="1325"/>
      <c r="K34" s="1134" t="s">
        <v>860</v>
      </c>
      <c r="L34" s="462" t="s">
        <v>44</v>
      </c>
      <c r="M34" s="447">
        <v>41</v>
      </c>
      <c r="N34" s="447">
        <v>41</v>
      </c>
      <c r="O34" s="450">
        <v>41</v>
      </c>
      <c r="P34" s="450">
        <v>41</v>
      </c>
      <c r="Q34" s="450">
        <v>41</v>
      </c>
      <c r="R34" s="450">
        <v>41</v>
      </c>
      <c r="S34" s="451"/>
      <c r="T34" s="457">
        <f>R34</f>
        <v>41</v>
      </c>
      <c r="U34" s="452">
        <v>7000000</v>
      </c>
      <c r="V34" s="452">
        <v>7210000</v>
      </c>
      <c r="W34" s="452">
        <v>7426300</v>
      </c>
      <c r="X34" s="452">
        <v>7649089</v>
      </c>
      <c r="Y34" s="453">
        <f t="shared" si="0"/>
        <v>29285389</v>
      </c>
      <c r="Z34" s="2110"/>
      <c r="AA34" s="452"/>
      <c r="AB34" s="2169"/>
      <c r="AC34" s="454">
        <f t="shared" si="1"/>
        <v>0</v>
      </c>
      <c r="AD34" s="452">
        <v>29285389</v>
      </c>
      <c r="AE34" s="2169"/>
      <c r="AF34" s="452"/>
      <c r="AG34" s="452"/>
      <c r="AH34" s="2110"/>
      <c r="AI34" s="454">
        <f t="shared" si="2"/>
        <v>0</v>
      </c>
      <c r="AJ34" s="452"/>
      <c r="AK34" s="2110"/>
      <c r="AL34" s="451"/>
      <c r="AM34" s="452"/>
      <c r="AN34" s="2110"/>
      <c r="AP34" s="876">
        <f t="shared" si="4"/>
        <v>29285389</v>
      </c>
      <c r="AQ34" s="18" t="str">
        <f t="shared" si="3"/>
        <v>Bien</v>
      </c>
      <c r="AR34" s="1146" t="s">
        <v>1182</v>
      </c>
    </row>
    <row r="35" spans="1:44" s="340" customFormat="1" ht="76.5" x14ac:dyDescent="0.2">
      <c r="A35" s="2048"/>
      <c r="B35" s="1917"/>
      <c r="C35" s="2214"/>
      <c r="D35" s="2214"/>
      <c r="E35" s="1918"/>
      <c r="F35" s="455" t="s">
        <v>861</v>
      </c>
      <c r="G35" s="448" t="s">
        <v>39</v>
      </c>
      <c r="H35" s="448">
        <v>0.81</v>
      </c>
      <c r="I35" s="464">
        <v>1</v>
      </c>
      <c r="J35" s="464" t="s">
        <v>1126</v>
      </c>
      <c r="K35" s="1134" t="s">
        <v>77</v>
      </c>
      <c r="L35" s="448" t="s">
        <v>78</v>
      </c>
      <c r="M35" s="447">
        <v>13</v>
      </c>
      <c r="N35" s="447">
        <v>16</v>
      </c>
      <c r="O35" s="450">
        <v>4</v>
      </c>
      <c r="P35" s="450">
        <v>4</v>
      </c>
      <c r="Q35" s="450">
        <v>4</v>
      </c>
      <c r="R35" s="450">
        <v>4</v>
      </c>
      <c r="S35" s="451"/>
      <c r="T35" s="447">
        <f>+SUM(O35:R35)</f>
        <v>16</v>
      </c>
      <c r="U35" s="452">
        <v>20000000</v>
      </c>
      <c r="V35" s="452">
        <v>20600000</v>
      </c>
      <c r="W35" s="452">
        <v>21218000</v>
      </c>
      <c r="X35" s="452">
        <v>21854540</v>
      </c>
      <c r="Y35" s="453">
        <f t="shared" si="0"/>
        <v>83672540</v>
      </c>
      <c r="Z35" s="2110"/>
      <c r="AA35" s="452"/>
      <c r="AB35" s="2169"/>
      <c r="AC35" s="454">
        <f t="shared" si="1"/>
        <v>0</v>
      </c>
      <c r="AD35" s="452">
        <v>83672540</v>
      </c>
      <c r="AE35" s="2169"/>
      <c r="AF35" s="452"/>
      <c r="AG35" s="452"/>
      <c r="AH35" s="2110"/>
      <c r="AI35" s="454">
        <f t="shared" si="2"/>
        <v>0</v>
      </c>
      <c r="AJ35" s="452"/>
      <c r="AK35" s="2110"/>
      <c r="AL35" s="451"/>
      <c r="AM35" s="452"/>
      <c r="AN35" s="2110"/>
      <c r="AP35" s="876">
        <f t="shared" si="4"/>
        <v>83672540</v>
      </c>
      <c r="AQ35" s="18" t="str">
        <f t="shared" si="3"/>
        <v>Bien</v>
      </c>
      <c r="AR35" s="1146" t="s">
        <v>1182</v>
      </c>
    </row>
    <row r="36" spans="1:44" s="340" customFormat="1" ht="33.75" customHeight="1" x14ac:dyDescent="0.2">
      <c r="A36" s="2048"/>
      <c r="B36" s="1917"/>
      <c r="C36" s="2214"/>
      <c r="D36" s="2214"/>
      <c r="E36" s="1918"/>
      <c r="F36" s="1324" t="s">
        <v>79</v>
      </c>
      <c r="G36" s="1326" t="s">
        <v>39</v>
      </c>
      <c r="H36" s="1326" t="s">
        <v>107</v>
      </c>
      <c r="I36" s="1328">
        <v>1</v>
      </c>
      <c r="J36" s="1324" t="s">
        <v>1267</v>
      </c>
      <c r="K36" s="455" t="s">
        <v>80</v>
      </c>
      <c r="L36" s="447" t="s">
        <v>39</v>
      </c>
      <c r="M36" s="447" t="s">
        <v>107</v>
      </c>
      <c r="N36" s="448">
        <v>1</v>
      </c>
      <c r="O36" s="456">
        <v>0.25</v>
      </c>
      <c r="P36" s="456">
        <v>0.25</v>
      </c>
      <c r="Q36" s="456">
        <v>0.25</v>
      </c>
      <c r="R36" s="456">
        <v>0.25</v>
      </c>
      <c r="S36" s="451"/>
      <c r="T36" s="448">
        <f>+SUM(O36:R36)</f>
        <v>1</v>
      </c>
      <c r="U36" s="452">
        <v>7050000</v>
      </c>
      <c r="V36" s="452">
        <v>11670000</v>
      </c>
      <c r="W36" s="452">
        <v>12548100</v>
      </c>
      <c r="X36" s="452">
        <v>12951815</v>
      </c>
      <c r="Y36" s="453">
        <f t="shared" si="0"/>
        <v>44219915</v>
      </c>
      <c r="Z36" s="2110"/>
      <c r="AA36" s="452">
        <v>44219915</v>
      </c>
      <c r="AB36" s="2169"/>
      <c r="AC36" s="454">
        <f t="shared" si="1"/>
        <v>0</v>
      </c>
      <c r="AD36" s="452"/>
      <c r="AE36" s="2169"/>
      <c r="AF36" s="452"/>
      <c r="AG36" s="452"/>
      <c r="AH36" s="2110"/>
      <c r="AI36" s="454">
        <f t="shared" si="2"/>
        <v>0</v>
      </c>
      <c r="AJ36" s="452"/>
      <c r="AK36" s="2110"/>
      <c r="AL36" s="451"/>
      <c r="AM36" s="452"/>
      <c r="AN36" s="2110"/>
      <c r="AP36" s="876">
        <f t="shared" si="4"/>
        <v>44219915</v>
      </c>
      <c r="AQ36" s="18" t="str">
        <f t="shared" si="3"/>
        <v>Bien</v>
      </c>
      <c r="AR36" s="1145" t="s">
        <v>1182</v>
      </c>
    </row>
    <row r="37" spans="1:44" s="340" customFormat="1" ht="30.75" customHeight="1" x14ac:dyDescent="0.2">
      <c r="A37" s="2048"/>
      <c r="B37" s="1917"/>
      <c r="C37" s="2214"/>
      <c r="D37" s="2214"/>
      <c r="E37" s="1918"/>
      <c r="F37" s="1325"/>
      <c r="G37" s="1325"/>
      <c r="H37" s="1327"/>
      <c r="I37" s="1325"/>
      <c r="J37" s="1325"/>
      <c r="K37" s="455" t="s">
        <v>862</v>
      </c>
      <c r="L37" s="462" t="s">
        <v>81</v>
      </c>
      <c r="M37" s="447">
        <v>0</v>
      </c>
      <c r="N37" s="447">
        <v>4</v>
      </c>
      <c r="O37" s="450">
        <v>1</v>
      </c>
      <c r="P37" s="450">
        <v>1</v>
      </c>
      <c r="Q37" s="450">
        <v>1</v>
      </c>
      <c r="R37" s="450">
        <v>1</v>
      </c>
      <c r="S37" s="451"/>
      <c r="T37" s="447">
        <f>+SUM(O37:R37)</f>
        <v>4</v>
      </c>
      <c r="U37" s="452">
        <v>16450000</v>
      </c>
      <c r="V37" s="452">
        <v>27230000</v>
      </c>
      <c r="W37" s="452">
        <v>29278900</v>
      </c>
      <c r="X37" s="452">
        <v>30220901</v>
      </c>
      <c r="Y37" s="453">
        <f t="shared" si="0"/>
        <v>103179801</v>
      </c>
      <c r="Z37" s="2110"/>
      <c r="AA37" s="452">
        <v>103179801</v>
      </c>
      <c r="AB37" s="2169"/>
      <c r="AC37" s="454">
        <f t="shared" si="1"/>
        <v>0</v>
      </c>
      <c r="AD37" s="452"/>
      <c r="AE37" s="2169"/>
      <c r="AF37" s="452"/>
      <c r="AG37" s="452"/>
      <c r="AH37" s="2110"/>
      <c r="AI37" s="454">
        <f t="shared" si="2"/>
        <v>0</v>
      </c>
      <c r="AJ37" s="452"/>
      <c r="AK37" s="2110"/>
      <c r="AL37" s="451"/>
      <c r="AM37" s="452"/>
      <c r="AN37" s="2110"/>
      <c r="AP37" s="876">
        <f t="shared" si="4"/>
        <v>103179801</v>
      </c>
      <c r="AQ37" s="18" t="str">
        <f t="shared" si="3"/>
        <v>Bien</v>
      </c>
      <c r="AR37" s="1145" t="s">
        <v>1182</v>
      </c>
    </row>
    <row r="38" spans="1:44" s="340" customFormat="1" ht="25.5" x14ac:dyDescent="0.2">
      <c r="A38" s="2048"/>
      <c r="B38" s="1917"/>
      <c r="C38" s="2214"/>
      <c r="D38" s="2214"/>
      <c r="E38" s="1918"/>
      <c r="F38" s="1325"/>
      <c r="G38" s="1325"/>
      <c r="H38" s="1327"/>
      <c r="I38" s="1325"/>
      <c r="J38" s="1325"/>
      <c r="K38" s="455" t="s">
        <v>82</v>
      </c>
      <c r="L38" s="447" t="s">
        <v>83</v>
      </c>
      <c r="M38" s="447">
        <v>0</v>
      </c>
      <c r="N38" s="447">
        <v>13</v>
      </c>
      <c r="O38" s="450">
        <v>13</v>
      </c>
      <c r="P38" s="450">
        <v>13</v>
      </c>
      <c r="Q38" s="450">
        <v>13</v>
      </c>
      <c r="R38" s="450">
        <v>13</v>
      </c>
      <c r="S38" s="451"/>
      <c r="T38" s="457">
        <f>R38</f>
        <v>13</v>
      </c>
      <c r="U38" s="452">
        <v>25000000</v>
      </c>
      <c r="V38" s="452">
        <v>25750000</v>
      </c>
      <c r="W38" s="452">
        <v>26522500</v>
      </c>
      <c r="X38" s="452">
        <v>27318175</v>
      </c>
      <c r="Y38" s="453">
        <f t="shared" si="0"/>
        <v>104590675</v>
      </c>
      <c r="Z38" s="2111"/>
      <c r="AA38" s="452"/>
      <c r="AB38" s="2213"/>
      <c r="AC38" s="454">
        <f t="shared" si="1"/>
        <v>0</v>
      </c>
      <c r="AD38" s="452">
        <v>104590675</v>
      </c>
      <c r="AE38" s="2213"/>
      <c r="AF38" s="452"/>
      <c r="AG38" s="452"/>
      <c r="AH38" s="2111"/>
      <c r="AI38" s="454">
        <f t="shared" si="2"/>
        <v>0</v>
      </c>
      <c r="AJ38" s="452"/>
      <c r="AK38" s="2111"/>
      <c r="AL38" s="451"/>
      <c r="AM38" s="452"/>
      <c r="AN38" s="2111"/>
      <c r="AP38" s="876">
        <f t="shared" si="4"/>
        <v>104590675</v>
      </c>
      <c r="AQ38" s="18" t="str">
        <f t="shared" si="3"/>
        <v>Bien</v>
      </c>
      <c r="AR38" s="1145" t="s">
        <v>1182</v>
      </c>
    </row>
    <row r="39" spans="1:44" s="340" customFormat="1" ht="51" x14ac:dyDescent="0.2">
      <c r="A39" s="2048"/>
      <c r="B39" s="1917"/>
      <c r="C39" s="2214"/>
      <c r="D39" s="2214"/>
      <c r="E39" s="1918" t="s">
        <v>84</v>
      </c>
      <c r="F39" s="455" t="s">
        <v>85</v>
      </c>
      <c r="G39" s="447" t="s">
        <v>44</v>
      </c>
      <c r="H39" s="447">
        <v>34</v>
      </c>
      <c r="I39" s="455">
        <v>34</v>
      </c>
      <c r="J39" s="455" t="s">
        <v>574</v>
      </c>
      <c r="K39" s="455" t="s">
        <v>863</v>
      </c>
      <c r="L39" s="447" t="s">
        <v>86</v>
      </c>
      <c r="M39" s="458">
        <v>1</v>
      </c>
      <c r="N39" s="458">
        <v>1</v>
      </c>
      <c r="O39" s="456">
        <v>0.25</v>
      </c>
      <c r="P39" s="456">
        <v>0.25</v>
      </c>
      <c r="Q39" s="456">
        <v>0.25</v>
      </c>
      <c r="R39" s="456">
        <v>0.25</v>
      </c>
      <c r="S39" s="451"/>
      <c r="T39" s="458">
        <f>+SUM(O39:R39)</f>
        <v>1</v>
      </c>
      <c r="U39" s="452">
        <f>340000000+655931000</f>
        <v>995931000</v>
      </c>
      <c r="V39" s="452">
        <f>350200000+675608930</f>
        <v>1025808930</v>
      </c>
      <c r="W39" s="452">
        <f>360706000+695877197.9</f>
        <v>1056583197.9</v>
      </c>
      <c r="X39" s="452">
        <f>371527180+716753513.837</f>
        <v>1088280693.8369999</v>
      </c>
      <c r="Y39" s="453">
        <f t="shared" si="0"/>
        <v>4166603821.737</v>
      </c>
      <c r="Z39" s="2109">
        <f>+SUM(Y39:Y45)</f>
        <v>35190329915.205704</v>
      </c>
      <c r="AA39" s="452">
        <v>1422433180</v>
      </c>
      <c r="AB39" s="2168">
        <f>+SUM(AA39:AA45)</f>
        <v>2217322310</v>
      </c>
      <c r="AC39" s="454">
        <f t="shared" si="1"/>
        <v>0.53216538093502463</v>
      </c>
      <c r="AD39" s="452">
        <v>2744170642</v>
      </c>
      <c r="AE39" s="2168">
        <f>+SUM(AD39:AD45)</f>
        <v>15118637597</v>
      </c>
      <c r="AF39" s="452"/>
      <c r="AG39" s="452"/>
      <c r="AH39" s="2109">
        <f>+SUM(AG39:AG45)</f>
        <v>0</v>
      </c>
      <c r="AI39" s="454">
        <f t="shared" si="2"/>
        <v>0</v>
      </c>
      <c r="AJ39" s="452"/>
      <c r="AK39" s="2109">
        <f>+SUM(AJ39:AJ45)</f>
        <v>17854370009</v>
      </c>
      <c r="AL39" s="451"/>
      <c r="AM39" s="452"/>
      <c r="AN39" s="2109">
        <f>+SUM(AM39:AM45)</f>
        <v>0</v>
      </c>
      <c r="AP39" s="876">
        <f t="shared" si="4"/>
        <v>4166603822</v>
      </c>
      <c r="AQ39" s="18" t="str">
        <f t="shared" si="3"/>
        <v>Error</v>
      </c>
      <c r="AR39" s="1145" t="s">
        <v>1182</v>
      </c>
    </row>
    <row r="40" spans="1:44" s="340" customFormat="1" ht="38.25" x14ac:dyDescent="0.2">
      <c r="A40" s="2048"/>
      <c r="B40" s="1917"/>
      <c r="C40" s="2214"/>
      <c r="D40" s="2214"/>
      <c r="E40" s="1932"/>
      <c r="F40" s="1324" t="s">
        <v>87</v>
      </c>
      <c r="G40" s="1326" t="s">
        <v>39</v>
      </c>
      <c r="H40" s="1326">
        <v>0.75</v>
      </c>
      <c r="I40" s="1328">
        <v>1</v>
      </c>
      <c r="J40" s="1328" t="s">
        <v>864</v>
      </c>
      <c r="K40" s="455" t="s">
        <v>865</v>
      </c>
      <c r="L40" s="447" t="s">
        <v>88</v>
      </c>
      <c r="M40" s="447">
        <v>14209</v>
      </c>
      <c r="N40" s="447">
        <v>18333</v>
      </c>
      <c r="O40" s="465">
        <v>16777</v>
      </c>
      <c r="P40" s="465">
        <v>17280</v>
      </c>
      <c r="Q40" s="465">
        <v>17799</v>
      </c>
      <c r="R40" s="465">
        <v>18333</v>
      </c>
      <c r="S40" s="451"/>
      <c r="T40" s="466">
        <f>+R40</f>
        <v>18333</v>
      </c>
      <c r="U40" s="452">
        <v>3429938885</v>
      </c>
      <c r="V40" s="452">
        <v>3532837052</v>
      </c>
      <c r="W40" s="452">
        <v>3638822163</v>
      </c>
      <c r="X40" s="452">
        <v>3747986828</v>
      </c>
      <c r="Y40" s="453">
        <f t="shared" si="0"/>
        <v>14349584928</v>
      </c>
      <c r="Z40" s="2110"/>
      <c r="AA40" s="452">
        <v>376526430</v>
      </c>
      <c r="AB40" s="2169"/>
      <c r="AC40" s="454">
        <f t="shared" si="1"/>
        <v>0</v>
      </c>
      <c r="AD40" s="452">
        <v>3218377140</v>
      </c>
      <c r="AE40" s="2169"/>
      <c r="AF40" s="452">
        <f>17854370009-AF41</f>
        <v>17463910143</v>
      </c>
      <c r="AG40" s="452"/>
      <c r="AH40" s="2110"/>
      <c r="AI40" s="454">
        <f t="shared" si="2"/>
        <v>0</v>
      </c>
      <c r="AJ40" s="452">
        <f>+Y40-AA40-AD40</f>
        <v>10754681358</v>
      </c>
      <c r="AK40" s="2110"/>
      <c r="AL40" s="451"/>
      <c r="AM40" s="452"/>
      <c r="AN40" s="2110"/>
      <c r="AP40" s="876">
        <f t="shared" si="4"/>
        <v>14349584928</v>
      </c>
      <c r="AQ40" s="18" t="str">
        <f t="shared" si="3"/>
        <v>Bien</v>
      </c>
      <c r="AR40" s="1146" t="s">
        <v>1182</v>
      </c>
    </row>
    <row r="41" spans="1:44" s="340" customFormat="1" ht="38.25" x14ac:dyDescent="0.2">
      <c r="A41" s="2048"/>
      <c r="B41" s="1917"/>
      <c r="C41" s="2214"/>
      <c r="D41" s="2214"/>
      <c r="E41" s="1932"/>
      <c r="F41" s="1324"/>
      <c r="G41" s="1326"/>
      <c r="H41" s="1326"/>
      <c r="I41" s="1328"/>
      <c r="J41" s="1328"/>
      <c r="K41" s="455" t="s">
        <v>866</v>
      </c>
      <c r="L41" s="447" t="s">
        <v>88</v>
      </c>
      <c r="M41" s="447">
        <v>4792</v>
      </c>
      <c r="N41" s="447">
        <v>5920</v>
      </c>
      <c r="O41" s="465">
        <v>5418</v>
      </c>
      <c r="P41" s="465">
        <v>5581</v>
      </c>
      <c r="Q41" s="465">
        <v>5748</v>
      </c>
      <c r="R41" s="465">
        <v>5920</v>
      </c>
      <c r="S41" s="451"/>
      <c r="T41" s="466">
        <f>+R41</f>
        <v>5920</v>
      </c>
      <c r="U41" s="452">
        <v>1696917600</v>
      </c>
      <c r="V41" s="452">
        <v>1747825128</v>
      </c>
      <c r="W41" s="452">
        <v>1800259882</v>
      </c>
      <c r="X41" s="452">
        <f>1854267678+418363</f>
        <v>1854686041</v>
      </c>
      <c r="Y41" s="453">
        <f t="shared" si="0"/>
        <v>7099688651</v>
      </c>
      <c r="Z41" s="2110"/>
      <c r="AA41" s="452"/>
      <c r="AB41" s="2169"/>
      <c r="AC41" s="454"/>
      <c r="AD41" s="452"/>
      <c r="AE41" s="2169"/>
      <c r="AF41" s="452">
        <v>390459866</v>
      </c>
      <c r="AG41" s="452"/>
      <c r="AH41" s="2110"/>
      <c r="AI41" s="454"/>
      <c r="AJ41" s="452">
        <v>7099688651</v>
      </c>
      <c r="AK41" s="2110"/>
      <c r="AL41" s="451"/>
      <c r="AM41" s="452"/>
      <c r="AN41" s="2110"/>
      <c r="AP41" s="876">
        <f t="shared" si="4"/>
        <v>7099688651</v>
      </c>
      <c r="AQ41" s="18" t="str">
        <f t="shared" si="3"/>
        <v>Bien</v>
      </c>
      <c r="AR41" s="1145" t="s">
        <v>1182</v>
      </c>
    </row>
    <row r="42" spans="1:44" s="340" customFormat="1" ht="38.25" x14ac:dyDescent="0.2">
      <c r="A42" s="2048"/>
      <c r="B42" s="1917"/>
      <c r="C42" s="2214"/>
      <c r="D42" s="2214"/>
      <c r="E42" s="1932"/>
      <c r="F42" s="1325"/>
      <c r="G42" s="1325"/>
      <c r="H42" s="1327"/>
      <c r="I42" s="1325"/>
      <c r="J42" s="1325"/>
      <c r="K42" s="455" t="s">
        <v>89</v>
      </c>
      <c r="L42" s="447" t="s">
        <v>90</v>
      </c>
      <c r="M42" s="447">
        <v>1070</v>
      </c>
      <c r="N42" s="447">
        <v>1170</v>
      </c>
      <c r="O42" s="450">
        <v>1070</v>
      </c>
      <c r="P42" s="450">
        <v>1170</v>
      </c>
      <c r="Q42" s="450">
        <v>1170</v>
      </c>
      <c r="R42" s="450">
        <v>1170</v>
      </c>
      <c r="S42" s="451"/>
      <c r="T42" s="447">
        <f>+R42</f>
        <v>1170</v>
      </c>
      <c r="U42" s="452">
        <f>100000000+85000000</f>
        <v>185000000</v>
      </c>
      <c r="V42" s="452">
        <f>103000000+87550000</f>
        <v>190550000</v>
      </c>
      <c r="W42" s="452">
        <f>106090000+90176500</f>
        <v>196266500</v>
      </c>
      <c r="X42" s="452">
        <f>109272700+92881795</f>
        <v>202154495</v>
      </c>
      <c r="Y42" s="453">
        <f t="shared" si="0"/>
        <v>773970995</v>
      </c>
      <c r="Z42" s="2110"/>
      <c r="AA42" s="452">
        <v>418362700</v>
      </c>
      <c r="AB42" s="2169"/>
      <c r="AC42" s="454">
        <f t="shared" si="1"/>
        <v>0</v>
      </c>
      <c r="AD42" s="452">
        <v>355608295</v>
      </c>
      <c r="AE42" s="2169"/>
      <c r="AF42" s="452"/>
      <c r="AG42" s="452"/>
      <c r="AH42" s="2110"/>
      <c r="AI42" s="454">
        <f t="shared" si="2"/>
        <v>0</v>
      </c>
      <c r="AJ42" s="452"/>
      <c r="AK42" s="2110"/>
      <c r="AL42" s="451"/>
      <c r="AM42" s="452"/>
      <c r="AN42" s="2110"/>
      <c r="AP42" s="876">
        <f t="shared" si="4"/>
        <v>773970995</v>
      </c>
      <c r="AQ42" s="18" t="str">
        <f t="shared" si="3"/>
        <v>Bien</v>
      </c>
      <c r="AR42" s="1145" t="s">
        <v>1182</v>
      </c>
    </row>
    <row r="43" spans="1:44" s="340" customFormat="1" ht="12.75" x14ac:dyDescent="0.2">
      <c r="A43" s="2048"/>
      <c r="B43" s="1917"/>
      <c r="C43" s="2214"/>
      <c r="D43" s="2214"/>
      <c r="E43" s="1932"/>
      <c r="F43" s="1325"/>
      <c r="G43" s="1325"/>
      <c r="H43" s="1327"/>
      <c r="I43" s="1325"/>
      <c r="J43" s="1325"/>
      <c r="K43" s="455" t="s">
        <v>91</v>
      </c>
      <c r="L43" s="447" t="s">
        <v>92</v>
      </c>
      <c r="M43" s="447">
        <v>27</v>
      </c>
      <c r="N43" s="447">
        <v>36</v>
      </c>
      <c r="O43" s="450">
        <v>9</v>
      </c>
      <c r="P43" s="450">
        <v>9</v>
      </c>
      <c r="Q43" s="450">
        <v>9</v>
      </c>
      <c r="R43" s="450">
        <v>9</v>
      </c>
      <c r="S43" s="451"/>
      <c r="T43" s="447">
        <f>+SUM(O43:R43)</f>
        <v>36</v>
      </c>
      <c r="U43" s="452">
        <v>450945616</v>
      </c>
      <c r="V43" s="452">
        <v>113351043</v>
      </c>
      <c r="W43" s="452">
        <v>116751573</v>
      </c>
      <c r="X43" s="452">
        <v>120254121.5187</v>
      </c>
      <c r="Y43" s="453">
        <f t="shared" si="0"/>
        <v>801302353.5187</v>
      </c>
      <c r="Z43" s="2110"/>
      <c r="AA43" s="452"/>
      <c r="AB43" s="2169"/>
      <c r="AC43" s="454">
        <f t="shared" si="1"/>
        <v>0</v>
      </c>
      <c r="AD43" s="452">
        <f>340896060+460406294</f>
        <v>801302354</v>
      </c>
      <c r="AE43" s="2169"/>
      <c r="AF43" s="452"/>
      <c r="AG43" s="452"/>
      <c r="AH43" s="2110"/>
      <c r="AI43" s="454">
        <f t="shared" si="2"/>
        <v>0</v>
      </c>
      <c r="AJ43" s="452"/>
      <c r="AK43" s="2110"/>
      <c r="AL43" s="451"/>
      <c r="AM43" s="452"/>
      <c r="AN43" s="2110"/>
      <c r="AP43" s="876">
        <f t="shared" si="4"/>
        <v>801302354</v>
      </c>
      <c r="AQ43" s="18" t="str">
        <f t="shared" si="3"/>
        <v>Error</v>
      </c>
      <c r="AR43" s="1145" t="s">
        <v>1182</v>
      </c>
    </row>
    <row r="44" spans="1:44" s="340" customFormat="1" ht="65.25" customHeight="1" x14ac:dyDescent="0.2">
      <c r="A44" s="2048"/>
      <c r="B44" s="1917"/>
      <c r="C44" s="2214"/>
      <c r="D44" s="2214"/>
      <c r="E44" s="1932"/>
      <c r="F44" s="467" t="s">
        <v>867</v>
      </c>
      <c r="G44" s="1131" t="s">
        <v>39</v>
      </c>
      <c r="H44" s="468">
        <v>1</v>
      </c>
      <c r="I44" s="469">
        <v>1</v>
      </c>
      <c r="J44" s="470" t="s">
        <v>1127</v>
      </c>
      <c r="K44" s="455" t="s">
        <v>868</v>
      </c>
      <c r="L44" s="447" t="s">
        <v>93</v>
      </c>
      <c r="M44" s="447">
        <v>734</v>
      </c>
      <c r="N44" s="447">
        <v>750</v>
      </c>
      <c r="O44" s="457">
        <v>750</v>
      </c>
      <c r="P44" s="457">
        <v>750</v>
      </c>
      <c r="Q44" s="457">
        <v>750</v>
      </c>
      <c r="R44" s="457">
        <v>750</v>
      </c>
      <c r="S44" s="451"/>
      <c r="T44" s="447">
        <f>+R44</f>
        <v>750</v>
      </c>
      <c r="U44" s="452">
        <v>1512020160</v>
      </c>
      <c r="V44" s="452">
        <v>1557380765</v>
      </c>
      <c r="W44" s="452">
        <v>1604102187.95</v>
      </c>
      <c r="X44" s="452">
        <v>1652225253</v>
      </c>
      <c r="Y44" s="453">
        <f t="shared" si="0"/>
        <v>6325728365.9499998</v>
      </c>
      <c r="Z44" s="2110"/>
      <c r="AA44" s="452"/>
      <c r="AB44" s="2169"/>
      <c r="AC44" s="454">
        <f t="shared" si="1"/>
        <v>0</v>
      </c>
      <c r="AD44" s="452">
        <v>6325728366</v>
      </c>
      <c r="AE44" s="2169"/>
      <c r="AF44" s="452"/>
      <c r="AG44" s="452"/>
      <c r="AH44" s="2110"/>
      <c r="AI44" s="454">
        <f t="shared" si="2"/>
        <v>0</v>
      </c>
      <c r="AJ44" s="452"/>
      <c r="AK44" s="2110"/>
      <c r="AL44" s="451"/>
      <c r="AM44" s="452"/>
      <c r="AN44" s="2110"/>
      <c r="AP44" s="876">
        <f t="shared" si="4"/>
        <v>6325728366</v>
      </c>
      <c r="AQ44" s="18" t="str">
        <f t="shared" si="3"/>
        <v>Error</v>
      </c>
      <c r="AR44" s="1145" t="s">
        <v>1182</v>
      </c>
    </row>
    <row r="45" spans="1:44" s="340" customFormat="1" ht="76.5" x14ac:dyDescent="0.2">
      <c r="A45" s="2048"/>
      <c r="B45" s="1917"/>
      <c r="C45" s="2214"/>
      <c r="D45" s="2214"/>
      <c r="E45" s="1932"/>
      <c r="F45" s="471" t="s">
        <v>869</v>
      </c>
      <c r="G45" s="472" t="s">
        <v>39</v>
      </c>
      <c r="H45" s="472">
        <v>0</v>
      </c>
      <c r="I45" s="473">
        <v>1</v>
      </c>
      <c r="J45" s="474" t="s">
        <v>1128</v>
      </c>
      <c r="K45" s="455" t="s">
        <v>94</v>
      </c>
      <c r="L45" s="475" t="s">
        <v>95</v>
      </c>
      <c r="M45" s="447">
        <v>5</v>
      </c>
      <c r="N45" s="476">
        <v>20</v>
      </c>
      <c r="O45" s="450">
        <v>5</v>
      </c>
      <c r="P45" s="450">
        <v>5</v>
      </c>
      <c r="Q45" s="450">
        <v>5</v>
      </c>
      <c r="R45" s="450">
        <v>5</v>
      </c>
      <c r="S45" s="451"/>
      <c r="T45" s="476">
        <f>+SUM(O45:R45)</f>
        <v>20</v>
      </c>
      <c r="U45" s="463">
        <v>400000000</v>
      </c>
      <c r="V45" s="463">
        <v>412000000</v>
      </c>
      <c r="W45" s="463">
        <v>424360000</v>
      </c>
      <c r="X45" s="463">
        <v>437090800</v>
      </c>
      <c r="Y45" s="453">
        <f t="shared" si="0"/>
        <v>1673450800</v>
      </c>
      <c r="Z45" s="2111"/>
      <c r="AA45" s="452"/>
      <c r="AB45" s="2213"/>
      <c r="AC45" s="454">
        <f t="shared" si="1"/>
        <v>0</v>
      </c>
      <c r="AD45" s="463">
        <v>1673450800</v>
      </c>
      <c r="AE45" s="2213"/>
      <c r="AF45" s="452"/>
      <c r="AG45" s="452"/>
      <c r="AH45" s="2111"/>
      <c r="AI45" s="454">
        <f t="shared" si="2"/>
        <v>0</v>
      </c>
      <c r="AJ45" s="452"/>
      <c r="AK45" s="2111"/>
      <c r="AL45" s="451"/>
      <c r="AM45" s="452"/>
      <c r="AN45" s="2111"/>
      <c r="AP45" s="876">
        <f t="shared" si="4"/>
        <v>1673450800</v>
      </c>
      <c r="AQ45" s="18" t="str">
        <f t="shared" si="3"/>
        <v>Bien</v>
      </c>
      <c r="AR45" s="1146" t="s">
        <v>1182</v>
      </c>
    </row>
    <row r="46" spans="1:44" s="340" customFormat="1" ht="76.5" x14ac:dyDescent="0.2">
      <c r="A46" s="2048"/>
      <c r="B46" s="1917"/>
      <c r="C46" s="2214"/>
      <c r="D46" s="2214"/>
      <c r="E46" s="1918" t="s">
        <v>98</v>
      </c>
      <c r="F46" s="1324" t="s">
        <v>99</v>
      </c>
      <c r="G46" s="1326" t="s">
        <v>39</v>
      </c>
      <c r="H46" s="1326">
        <v>1</v>
      </c>
      <c r="I46" s="1328">
        <v>1</v>
      </c>
      <c r="J46" s="1328" t="s">
        <v>99</v>
      </c>
      <c r="K46" s="455" t="s">
        <v>100</v>
      </c>
      <c r="L46" s="447" t="s">
        <v>101</v>
      </c>
      <c r="M46" s="448">
        <v>1</v>
      </c>
      <c r="N46" s="448">
        <v>1</v>
      </c>
      <c r="O46" s="449">
        <v>1</v>
      </c>
      <c r="P46" s="449">
        <v>1</v>
      </c>
      <c r="Q46" s="449">
        <v>1</v>
      </c>
      <c r="R46" s="449">
        <v>1</v>
      </c>
      <c r="S46" s="451"/>
      <c r="T46" s="458">
        <f>+R46</f>
        <v>1</v>
      </c>
      <c r="U46" s="452">
        <v>126973295887</v>
      </c>
      <c r="V46" s="452">
        <v>130782491321</v>
      </c>
      <c r="W46" s="452">
        <v>134705966061</v>
      </c>
      <c r="X46" s="452">
        <v>138747145043</v>
      </c>
      <c r="Y46" s="453">
        <f t="shared" si="0"/>
        <v>531208898312</v>
      </c>
      <c r="Z46" s="2109">
        <f>+SUM(Y46:Y48)</f>
        <v>531630440568.52002</v>
      </c>
      <c r="AA46" s="452"/>
      <c r="AB46" s="2168">
        <f>+SUM(AA46:AA48)</f>
        <v>209181350</v>
      </c>
      <c r="AC46" s="454">
        <f t="shared" si="1"/>
        <v>3.937835956150334E-4</v>
      </c>
      <c r="AD46" s="452">
        <v>531208898312</v>
      </c>
      <c r="AE46" s="2168">
        <f>+SUM(AD46:AD48)</f>
        <v>531421259219</v>
      </c>
      <c r="AF46" s="452"/>
      <c r="AG46" s="452"/>
      <c r="AH46" s="2109">
        <f>+SUM(AG46:AG48)</f>
        <v>0</v>
      </c>
      <c r="AI46" s="454">
        <f t="shared" si="2"/>
        <v>0</v>
      </c>
      <c r="AJ46" s="452"/>
      <c r="AK46" s="2109">
        <f>+SUM(AJ46:AJ48)</f>
        <v>0</v>
      </c>
      <c r="AL46" s="451"/>
      <c r="AM46" s="452"/>
      <c r="AN46" s="2109">
        <f>+SUM(AM46:AM48)</f>
        <v>0</v>
      </c>
      <c r="AP46" s="876">
        <f t="shared" si="4"/>
        <v>531208898312</v>
      </c>
      <c r="AQ46" s="18" t="str">
        <f t="shared" si="3"/>
        <v>Bien</v>
      </c>
      <c r="AR46" s="1146" t="s">
        <v>1182</v>
      </c>
    </row>
    <row r="47" spans="1:44" s="340" customFormat="1" ht="25.5" x14ac:dyDescent="0.2">
      <c r="A47" s="2048"/>
      <c r="B47" s="1917"/>
      <c r="C47" s="2214"/>
      <c r="D47" s="2214"/>
      <c r="E47" s="1932"/>
      <c r="F47" s="1325"/>
      <c r="G47" s="1325"/>
      <c r="H47" s="1327"/>
      <c r="I47" s="1325"/>
      <c r="J47" s="1325"/>
      <c r="K47" s="446" t="s">
        <v>102</v>
      </c>
      <c r="L47" s="448" t="s">
        <v>39</v>
      </c>
      <c r="M47" s="447">
        <v>0</v>
      </c>
      <c r="N47" s="448">
        <v>1</v>
      </c>
      <c r="O47" s="449">
        <v>0.25</v>
      </c>
      <c r="P47" s="449">
        <v>0.25</v>
      </c>
      <c r="Q47" s="449">
        <v>0.25</v>
      </c>
      <c r="R47" s="449">
        <v>0.25</v>
      </c>
      <c r="S47" s="451"/>
      <c r="T47" s="448">
        <f>+SUM(O47:R47)</f>
        <v>1</v>
      </c>
      <c r="U47" s="452">
        <v>17000000</v>
      </c>
      <c r="V47" s="452">
        <v>17510000</v>
      </c>
      <c r="W47" s="452">
        <v>18035300</v>
      </c>
      <c r="X47" s="452">
        <v>18576359</v>
      </c>
      <c r="Y47" s="453">
        <f t="shared" si="0"/>
        <v>71121659</v>
      </c>
      <c r="Z47" s="2110"/>
      <c r="AA47" s="463">
        <v>71121659</v>
      </c>
      <c r="AB47" s="2169"/>
      <c r="AC47" s="454">
        <f t="shared" si="1"/>
        <v>0</v>
      </c>
      <c r="AD47" s="452"/>
      <c r="AE47" s="2169"/>
      <c r="AF47" s="452"/>
      <c r="AG47" s="452"/>
      <c r="AH47" s="2110"/>
      <c r="AI47" s="454">
        <f t="shared" si="2"/>
        <v>0</v>
      </c>
      <c r="AJ47" s="452"/>
      <c r="AK47" s="2110"/>
      <c r="AL47" s="451"/>
      <c r="AM47" s="452"/>
      <c r="AN47" s="2110"/>
      <c r="AP47" s="876">
        <f t="shared" si="4"/>
        <v>71121659</v>
      </c>
      <c r="AQ47" s="18" t="str">
        <f t="shared" si="3"/>
        <v>Bien</v>
      </c>
      <c r="AR47" s="1145" t="s">
        <v>1182</v>
      </c>
    </row>
    <row r="48" spans="1:44" s="340" customFormat="1" ht="39" thickBot="1" x14ac:dyDescent="0.25">
      <c r="A48" s="2048"/>
      <c r="B48" s="1917"/>
      <c r="C48" s="2214"/>
      <c r="D48" s="2214"/>
      <c r="E48" s="1932"/>
      <c r="F48" s="1325"/>
      <c r="G48" s="1325"/>
      <c r="H48" s="1327"/>
      <c r="I48" s="1325"/>
      <c r="J48" s="1325"/>
      <c r="K48" s="446" t="s">
        <v>870</v>
      </c>
      <c r="L48" s="448" t="s">
        <v>39</v>
      </c>
      <c r="M48" s="448">
        <v>0.2</v>
      </c>
      <c r="N48" s="448">
        <v>1</v>
      </c>
      <c r="O48" s="449">
        <v>0.2</v>
      </c>
      <c r="P48" s="449">
        <v>0.2</v>
      </c>
      <c r="Q48" s="449">
        <v>0.2</v>
      </c>
      <c r="R48" s="449">
        <v>0.2</v>
      </c>
      <c r="S48" s="451"/>
      <c r="T48" s="448">
        <f>+SUM(O48:R48)</f>
        <v>0.8</v>
      </c>
      <c r="U48" s="452">
        <f>33000000+50760000</f>
        <v>83760000</v>
      </c>
      <c r="V48" s="452">
        <f>33990000+52282800</f>
        <v>86272800</v>
      </c>
      <c r="W48" s="452">
        <f>35009700+53851284</f>
        <v>88860984</v>
      </c>
      <c r="X48" s="452">
        <f>36059991+55466822.52</f>
        <v>91526813.520000011</v>
      </c>
      <c r="Y48" s="453">
        <f t="shared" si="0"/>
        <v>350420597.51999998</v>
      </c>
      <c r="Z48" s="2112"/>
      <c r="AA48" s="477">
        <f>209181350-AA47</f>
        <v>138059691</v>
      </c>
      <c r="AB48" s="2170"/>
      <c r="AC48" s="454">
        <f t="shared" si="1"/>
        <v>0</v>
      </c>
      <c r="AD48" s="452">
        <v>212360907</v>
      </c>
      <c r="AE48" s="2170"/>
      <c r="AF48" s="452"/>
      <c r="AG48" s="452"/>
      <c r="AH48" s="2112"/>
      <c r="AI48" s="454">
        <f t="shared" si="2"/>
        <v>0</v>
      </c>
      <c r="AJ48" s="452"/>
      <c r="AK48" s="2112"/>
      <c r="AL48" s="451"/>
      <c r="AM48" s="452"/>
      <c r="AN48" s="2112"/>
      <c r="AP48" s="876">
        <f t="shared" si="4"/>
        <v>350420598</v>
      </c>
      <c r="AQ48" s="18" t="str">
        <f t="shared" si="3"/>
        <v>Error</v>
      </c>
      <c r="AR48" s="1145" t="s">
        <v>1182</v>
      </c>
    </row>
    <row r="49" spans="1:44" ht="36" customHeight="1" thickTop="1" x14ac:dyDescent="0.25">
      <c r="A49" s="2048"/>
      <c r="B49" s="1863" t="s">
        <v>103</v>
      </c>
      <c r="C49" s="2185">
        <v>1905</v>
      </c>
      <c r="D49" s="2185" t="s">
        <v>1082</v>
      </c>
      <c r="E49" s="1933" t="s">
        <v>104</v>
      </c>
      <c r="F49" s="1299" t="s">
        <v>105</v>
      </c>
      <c r="G49" s="1301" t="s">
        <v>106</v>
      </c>
      <c r="H49" s="1301" t="s">
        <v>107</v>
      </c>
      <c r="I49" s="1303">
        <v>10</v>
      </c>
      <c r="J49" s="1333" t="s">
        <v>108</v>
      </c>
      <c r="K49" s="201" t="s">
        <v>109</v>
      </c>
      <c r="L49" s="202" t="s">
        <v>39</v>
      </c>
      <c r="M49" s="202" t="s">
        <v>107</v>
      </c>
      <c r="N49" s="203">
        <v>1</v>
      </c>
      <c r="O49" s="195">
        <v>0.15</v>
      </c>
      <c r="P49" s="28">
        <v>0.25</v>
      </c>
      <c r="Q49" s="28">
        <v>0.25</v>
      </c>
      <c r="R49" s="28">
        <v>0.35</v>
      </c>
      <c r="S49" s="29"/>
      <c r="T49" s="30">
        <f t="shared" ref="T49:T51" si="6">+SUM(O49:R49)</f>
        <v>1</v>
      </c>
      <c r="U49" s="31">
        <v>80000000</v>
      </c>
      <c r="V49" s="32">
        <f>(U49*3%)+U49</f>
        <v>82400000</v>
      </c>
      <c r="W49" s="33">
        <v>84872000</v>
      </c>
      <c r="X49" s="33">
        <v>87418160</v>
      </c>
      <c r="Y49" s="34">
        <f t="shared" si="0"/>
        <v>334690160</v>
      </c>
      <c r="Z49" s="1335">
        <f>+SUM(Y49:Y105)</f>
        <v>11637502771.926928</v>
      </c>
      <c r="AA49" s="35"/>
      <c r="AB49" s="1433">
        <f>+SUM(AA49:AA105)</f>
        <v>0</v>
      </c>
      <c r="AC49" s="29">
        <f t="shared" ref="AC49:AC72" si="7">+AA49/Y49</f>
        <v>0</v>
      </c>
      <c r="AD49" s="34">
        <f>Y49</f>
        <v>334690160</v>
      </c>
      <c r="AE49" s="1433">
        <f>+SUM(AD49:AD105)</f>
        <v>11637502771.926928</v>
      </c>
      <c r="AF49" s="36">
        <v>1</v>
      </c>
      <c r="AG49" s="35"/>
      <c r="AH49" s="1335">
        <f>+SUM(AG49:AG105)</f>
        <v>0</v>
      </c>
      <c r="AI49" s="29">
        <f t="shared" ref="AI49:AI54" si="8">+AG49/Y49</f>
        <v>0</v>
      </c>
      <c r="AJ49" s="35"/>
      <c r="AK49" s="1335">
        <f>+SUM(AJ49:AJ105)</f>
        <v>0</v>
      </c>
      <c r="AL49" s="29">
        <f t="shared" ref="AL49:AL54" si="9">+AJ49/Y49</f>
        <v>0</v>
      </c>
      <c r="AM49" s="35"/>
      <c r="AN49" s="1380">
        <f>+SUM(AM49:AM105)</f>
        <v>0</v>
      </c>
      <c r="AO49" s="37">
        <f t="shared" ref="AO49:AO54" si="10">+AM49/Y49</f>
        <v>0</v>
      </c>
      <c r="AP49" s="876">
        <f>+AA49+AD49+AG49+AJ49+AM49</f>
        <v>334690160</v>
      </c>
      <c r="AQ49" s="18" t="str">
        <f t="shared" si="3"/>
        <v>Bien</v>
      </c>
      <c r="AR49" s="1159" t="s">
        <v>1183</v>
      </c>
    </row>
    <row r="50" spans="1:44" ht="69.75" customHeight="1" x14ac:dyDescent="0.25">
      <c r="A50" s="2048"/>
      <c r="B50" s="1864"/>
      <c r="C50" s="2185"/>
      <c r="D50" s="2185"/>
      <c r="E50" s="1934"/>
      <c r="F50" s="1300"/>
      <c r="G50" s="1302"/>
      <c r="H50" s="1302"/>
      <c r="I50" s="1304"/>
      <c r="J50" s="1334"/>
      <c r="K50" s="201" t="s">
        <v>575</v>
      </c>
      <c r="L50" s="204" t="s">
        <v>39</v>
      </c>
      <c r="M50" s="204" t="s">
        <v>107</v>
      </c>
      <c r="N50" s="205">
        <v>1</v>
      </c>
      <c r="O50" s="195">
        <v>0.15</v>
      </c>
      <c r="P50" s="28">
        <v>0.25</v>
      </c>
      <c r="Q50" s="28">
        <v>0.25</v>
      </c>
      <c r="R50" s="28">
        <v>0.35</v>
      </c>
      <c r="S50" s="38"/>
      <c r="T50" s="39">
        <f t="shared" si="6"/>
        <v>1</v>
      </c>
      <c r="U50" s="31">
        <v>50000000</v>
      </c>
      <c r="V50" s="32">
        <f>(U50*3%)+U50</f>
        <v>51500000</v>
      </c>
      <c r="W50" s="32">
        <f t="shared" ref="W50:X50" si="11">(V50*3%)+V50</f>
        <v>53045000</v>
      </c>
      <c r="X50" s="32">
        <f t="shared" si="11"/>
        <v>54636350</v>
      </c>
      <c r="Y50" s="34">
        <f t="shared" si="0"/>
        <v>209181350</v>
      </c>
      <c r="Z50" s="1336"/>
      <c r="AA50" s="40"/>
      <c r="AB50" s="1434"/>
      <c r="AC50" s="38">
        <f t="shared" si="7"/>
        <v>0</v>
      </c>
      <c r="AD50" s="34">
        <f>Y50</f>
        <v>209181350</v>
      </c>
      <c r="AE50" s="1434"/>
      <c r="AF50" s="36">
        <v>1</v>
      </c>
      <c r="AG50" s="40"/>
      <c r="AH50" s="1336"/>
      <c r="AI50" s="38">
        <f t="shared" si="8"/>
        <v>0</v>
      </c>
      <c r="AJ50" s="40"/>
      <c r="AK50" s="1336"/>
      <c r="AL50" s="38">
        <f t="shared" si="9"/>
        <v>0</v>
      </c>
      <c r="AM50" s="40"/>
      <c r="AN50" s="1381"/>
      <c r="AO50" s="41">
        <f t="shared" si="10"/>
        <v>0</v>
      </c>
      <c r="AP50" s="985">
        <f t="shared" ref="AP50:AP52" si="12">+AA50+AD50+AG50+AJ50+AM50</f>
        <v>209181350</v>
      </c>
      <c r="AQ50" s="18" t="str">
        <f t="shared" si="3"/>
        <v>Bien</v>
      </c>
      <c r="AR50" s="1159" t="s">
        <v>1183</v>
      </c>
    </row>
    <row r="51" spans="1:44" ht="68.25" customHeight="1" x14ac:dyDescent="0.25">
      <c r="A51" s="2048"/>
      <c r="B51" s="1864"/>
      <c r="C51" s="2185"/>
      <c r="D51" s="2185"/>
      <c r="E51" s="1934"/>
      <c r="F51" s="864" t="s">
        <v>110</v>
      </c>
      <c r="G51" s="43" t="s">
        <v>111</v>
      </c>
      <c r="H51" s="43">
        <v>63.8</v>
      </c>
      <c r="I51" s="76">
        <v>50.26</v>
      </c>
      <c r="J51" s="1346" t="s">
        <v>112</v>
      </c>
      <c r="K51" s="206" t="s">
        <v>113</v>
      </c>
      <c r="L51" s="207" t="s">
        <v>576</v>
      </c>
      <c r="M51" s="207" t="s">
        <v>107</v>
      </c>
      <c r="N51" s="207">
        <v>20</v>
      </c>
      <c r="O51" s="59">
        <v>1</v>
      </c>
      <c r="P51" s="44">
        <v>5</v>
      </c>
      <c r="Q51" s="44">
        <v>7</v>
      </c>
      <c r="R51" s="44">
        <v>7</v>
      </c>
      <c r="S51" s="38"/>
      <c r="T51" s="45">
        <f t="shared" si="6"/>
        <v>20</v>
      </c>
      <c r="U51" s="32">
        <v>40000000</v>
      </c>
      <c r="V51" s="32">
        <f>(U51*3%)+U51</f>
        <v>41200000</v>
      </c>
      <c r="W51" s="32">
        <f>(V51*3%)+V51</f>
        <v>42436000</v>
      </c>
      <c r="X51" s="32">
        <f>(W51*3%)+W51</f>
        <v>43709080</v>
      </c>
      <c r="Y51" s="46">
        <f t="shared" si="0"/>
        <v>167345080</v>
      </c>
      <c r="Z51" s="1336"/>
      <c r="AA51" s="40"/>
      <c r="AB51" s="1434"/>
      <c r="AC51" s="38">
        <f t="shared" si="7"/>
        <v>0</v>
      </c>
      <c r="AD51" s="34">
        <f>Y51</f>
        <v>167345080</v>
      </c>
      <c r="AE51" s="1434"/>
      <c r="AF51" s="38">
        <f>+AD51/Y51</f>
        <v>1</v>
      </c>
      <c r="AG51" s="40"/>
      <c r="AH51" s="1336"/>
      <c r="AI51" s="38">
        <f t="shared" si="8"/>
        <v>0</v>
      </c>
      <c r="AJ51" s="40"/>
      <c r="AK51" s="1336"/>
      <c r="AL51" s="38">
        <f t="shared" si="9"/>
        <v>0</v>
      </c>
      <c r="AM51" s="40"/>
      <c r="AN51" s="1381"/>
      <c r="AO51" s="41">
        <f t="shared" si="10"/>
        <v>0</v>
      </c>
      <c r="AP51" s="986">
        <f t="shared" si="12"/>
        <v>167345080</v>
      </c>
      <c r="AQ51" s="18" t="str">
        <f t="shared" si="3"/>
        <v>Bien</v>
      </c>
      <c r="AR51" s="1159" t="s">
        <v>1183</v>
      </c>
    </row>
    <row r="52" spans="1:44" ht="72.75" customHeight="1" x14ac:dyDescent="0.25">
      <c r="A52" s="2048"/>
      <c r="B52" s="1864"/>
      <c r="C52" s="2185"/>
      <c r="D52" s="2185"/>
      <c r="E52" s="1934"/>
      <c r="F52" s="864" t="s">
        <v>115</v>
      </c>
      <c r="G52" s="43" t="s">
        <v>111</v>
      </c>
      <c r="H52" s="43">
        <v>53.95</v>
      </c>
      <c r="I52" s="76">
        <v>53.95</v>
      </c>
      <c r="J52" s="1346"/>
      <c r="K52" s="1346" t="s">
        <v>116</v>
      </c>
      <c r="L52" s="1368" t="s">
        <v>114</v>
      </c>
      <c r="M52" s="1368" t="s">
        <v>107</v>
      </c>
      <c r="N52" s="1368">
        <v>20</v>
      </c>
      <c r="O52" s="1329">
        <v>1</v>
      </c>
      <c r="P52" s="1306">
        <v>5</v>
      </c>
      <c r="Q52" s="1306">
        <v>7</v>
      </c>
      <c r="R52" s="1306">
        <v>7</v>
      </c>
      <c r="S52" s="38"/>
      <c r="T52" s="1338">
        <f t="shared" ref="T52" si="13">+SUM(O52:R52)</f>
        <v>20</v>
      </c>
      <c r="U52" s="1341">
        <v>40000000</v>
      </c>
      <c r="V52" s="1341">
        <f t="shared" ref="V52:X55" si="14">(U52*3%)+U52</f>
        <v>41200000</v>
      </c>
      <c r="W52" s="1341">
        <f t="shared" si="14"/>
        <v>42436000</v>
      </c>
      <c r="X52" s="1341">
        <f t="shared" si="14"/>
        <v>43709080</v>
      </c>
      <c r="Y52" s="1377">
        <f t="shared" si="0"/>
        <v>167345080</v>
      </c>
      <c r="Z52" s="1336"/>
      <c r="AA52" s="1348"/>
      <c r="AB52" s="1434"/>
      <c r="AC52" s="1350">
        <f t="shared" si="7"/>
        <v>0</v>
      </c>
      <c r="AD52" s="1352">
        <f>Y52</f>
        <v>167345080</v>
      </c>
      <c r="AE52" s="1434"/>
      <c r="AF52" s="1350">
        <f>+AD52/Y52</f>
        <v>1</v>
      </c>
      <c r="AG52" s="1352"/>
      <c r="AH52" s="1336"/>
      <c r="AI52" s="1350">
        <f t="shared" si="8"/>
        <v>0</v>
      </c>
      <c r="AJ52" s="1352"/>
      <c r="AK52" s="1336"/>
      <c r="AL52" s="1350">
        <f t="shared" si="9"/>
        <v>0</v>
      </c>
      <c r="AM52" s="1352"/>
      <c r="AN52" s="1381"/>
      <c r="AO52" s="1374">
        <f t="shared" si="10"/>
        <v>0</v>
      </c>
      <c r="AP52" s="1365">
        <f t="shared" si="12"/>
        <v>167345080</v>
      </c>
      <c r="AQ52" s="18" t="str">
        <f t="shared" si="3"/>
        <v>Bien</v>
      </c>
      <c r="AR52" s="1159" t="s">
        <v>1183</v>
      </c>
    </row>
    <row r="53" spans="1:44" ht="25.5" x14ac:dyDescent="0.25">
      <c r="A53" s="2048"/>
      <c r="B53" s="1864"/>
      <c r="C53" s="2185"/>
      <c r="D53" s="2185"/>
      <c r="E53" s="1934"/>
      <c r="F53" s="864" t="s">
        <v>117</v>
      </c>
      <c r="G53" s="43" t="s">
        <v>111</v>
      </c>
      <c r="H53" s="43">
        <v>27.6</v>
      </c>
      <c r="I53" s="76">
        <v>27.6</v>
      </c>
      <c r="J53" s="1346"/>
      <c r="K53" s="1346"/>
      <c r="L53" s="1368"/>
      <c r="M53" s="1368"/>
      <c r="N53" s="1368"/>
      <c r="O53" s="1330"/>
      <c r="P53" s="1332"/>
      <c r="Q53" s="1332"/>
      <c r="R53" s="1332"/>
      <c r="S53" s="38"/>
      <c r="T53" s="1339"/>
      <c r="U53" s="1341"/>
      <c r="V53" s="1341"/>
      <c r="W53" s="1341">
        <f t="shared" si="14"/>
        <v>0</v>
      </c>
      <c r="X53" s="1341">
        <f t="shared" si="14"/>
        <v>0</v>
      </c>
      <c r="Y53" s="1378"/>
      <c r="Z53" s="1336"/>
      <c r="AA53" s="1321"/>
      <c r="AB53" s="1434"/>
      <c r="AC53" s="1373"/>
      <c r="AD53" s="1372"/>
      <c r="AE53" s="1434"/>
      <c r="AF53" s="1373"/>
      <c r="AG53" s="1372"/>
      <c r="AH53" s="1336"/>
      <c r="AI53" s="1373" t="e">
        <f t="shared" si="8"/>
        <v>#DIV/0!</v>
      </c>
      <c r="AJ53" s="1372"/>
      <c r="AK53" s="1336"/>
      <c r="AL53" s="1373" t="e">
        <f t="shared" si="9"/>
        <v>#DIV/0!</v>
      </c>
      <c r="AM53" s="1372"/>
      <c r="AN53" s="1381"/>
      <c r="AO53" s="1375" t="e">
        <f t="shared" si="10"/>
        <v>#DIV/0!</v>
      </c>
      <c r="AP53" s="1366"/>
      <c r="AQ53" s="18" t="str">
        <f t="shared" si="3"/>
        <v>Bien</v>
      </c>
      <c r="AR53" s="1159" t="s">
        <v>1183</v>
      </c>
    </row>
    <row r="54" spans="1:44" ht="26.25" x14ac:dyDescent="0.25">
      <c r="A54" s="2048"/>
      <c r="B54" s="1864"/>
      <c r="C54" s="2185"/>
      <c r="D54" s="2185"/>
      <c r="E54" s="1934"/>
      <c r="F54" s="1110" t="s">
        <v>118</v>
      </c>
      <c r="G54" s="43" t="s">
        <v>111</v>
      </c>
      <c r="H54" s="43">
        <v>22.34</v>
      </c>
      <c r="I54" s="76">
        <v>15.63</v>
      </c>
      <c r="J54" s="1346"/>
      <c r="K54" s="1346"/>
      <c r="L54" s="1368"/>
      <c r="M54" s="1368"/>
      <c r="N54" s="1368"/>
      <c r="O54" s="1330"/>
      <c r="P54" s="1332"/>
      <c r="Q54" s="1332"/>
      <c r="R54" s="1332"/>
      <c r="S54" s="38"/>
      <c r="T54" s="1339"/>
      <c r="U54" s="1341"/>
      <c r="V54" s="1341"/>
      <c r="W54" s="1341">
        <f t="shared" si="14"/>
        <v>0</v>
      </c>
      <c r="X54" s="1341">
        <f t="shared" si="14"/>
        <v>0</v>
      </c>
      <c r="Y54" s="1378"/>
      <c r="Z54" s="1336"/>
      <c r="AA54" s="1321"/>
      <c r="AB54" s="1434"/>
      <c r="AC54" s="1373"/>
      <c r="AD54" s="1372"/>
      <c r="AE54" s="1434"/>
      <c r="AF54" s="1373"/>
      <c r="AG54" s="1372"/>
      <c r="AH54" s="1336"/>
      <c r="AI54" s="1373" t="e">
        <f t="shared" si="8"/>
        <v>#DIV/0!</v>
      </c>
      <c r="AJ54" s="1372"/>
      <c r="AK54" s="1336"/>
      <c r="AL54" s="1373" t="e">
        <f t="shared" si="9"/>
        <v>#DIV/0!</v>
      </c>
      <c r="AM54" s="1372"/>
      <c r="AN54" s="1381"/>
      <c r="AO54" s="1375" t="e">
        <f t="shared" si="10"/>
        <v>#DIV/0!</v>
      </c>
      <c r="AP54" s="1366"/>
      <c r="AQ54" s="18" t="str">
        <f t="shared" si="3"/>
        <v>Bien</v>
      </c>
      <c r="AR54" s="1147" t="s">
        <v>1183</v>
      </c>
    </row>
    <row r="55" spans="1:44" x14ac:dyDescent="0.25">
      <c r="A55" s="2048"/>
      <c r="B55" s="1864"/>
      <c r="C55" s="2185"/>
      <c r="D55" s="2185"/>
      <c r="E55" s="1934"/>
      <c r="F55" s="1110" t="s">
        <v>119</v>
      </c>
      <c r="G55" s="43" t="s">
        <v>1020</v>
      </c>
      <c r="H55" s="43" t="s">
        <v>120</v>
      </c>
      <c r="I55" s="76">
        <v>2.4</v>
      </c>
      <c r="J55" s="1346"/>
      <c r="K55" s="1346"/>
      <c r="L55" s="1368"/>
      <c r="M55" s="1368"/>
      <c r="N55" s="1368"/>
      <c r="O55" s="1331"/>
      <c r="P55" s="1323"/>
      <c r="Q55" s="1323"/>
      <c r="R55" s="1323"/>
      <c r="S55" s="38"/>
      <c r="T55" s="1340"/>
      <c r="U55" s="1341"/>
      <c r="V55" s="1341"/>
      <c r="W55" s="1341">
        <f t="shared" si="14"/>
        <v>0</v>
      </c>
      <c r="X55" s="1341">
        <f t="shared" si="14"/>
        <v>0</v>
      </c>
      <c r="Y55" s="1379"/>
      <c r="Z55" s="1336"/>
      <c r="AA55" s="1349"/>
      <c r="AB55" s="1434"/>
      <c r="AC55" s="1351"/>
      <c r="AD55" s="1353"/>
      <c r="AE55" s="1434"/>
      <c r="AF55" s="1351"/>
      <c r="AG55" s="1353"/>
      <c r="AH55" s="1336"/>
      <c r="AI55" s="1351"/>
      <c r="AJ55" s="1353"/>
      <c r="AK55" s="1336"/>
      <c r="AL55" s="1351"/>
      <c r="AM55" s="1353"/>
      <c r="AN55" s="1381"/>
      <c r="AO55" s="1376"/>
      <c r="AP55" s="1367"/>
      <c r="AQ55" s="18" t="str">
        <f t="shared" si="3"/>
        <v>Bien</v>
      </c>
      <c r="AR55" s="1147" t="s">
        <v>1183</v>
      </c>
    </row>
    <row r="56" spans="1:44" ht="39" x14ac:dyDescent="0.25">
      <c r="A56" s="2048"/>
      <c r="B56" s="1864"/>
      <c r="C56" s="2185"/>
      <c r="D56" s="2185"/>
      <c r="E56" s="1934"/>
      <c r="F56" s="1110" t="s">
        <v>121</v>
      </c>
      <c r="G56" s="43" t="s">
        <v>111</v>
      </c>
      <c r="H56" s="43">
        <v>12.62</v>
      </c>
      <c r="I56" s="76">
        <v>12.62</v>
      </c>
      <c r="J56" s="1346"/>
      <c r="K56" s="69" t="s">
        <v>122</v>
      </c>
      <c r="L56" s="70" t="s">
        <v>39</v>
      </c>
      <c r="M56" s="70" t="s">
        <v>107</v>
      </c>
      <c r="N56" s="216">
        <v>1</v>
      </c>
      <c r="O56" s="73">
        <v>0.05</v>
      </c>
      <c r="P56" s="48">
        <v>0.25</v>
      </c>
      <c r="Q56" s="48">
        <v>0.3</v>
      </c>
      <c r="R56" s="48">
        <v>0.3</v>
      </c>
      <c r="S56" s="38"/>
      <c r="T56" s="39">
        <v>1</v>
      </c>
      <c r="U56" s="32">
        <v>20000000</v>
      </c>
      <c r="V56" s="32">
        <f>(U56*3%)+U56</f>
        <v>20600000</v>
      </c>
      <c r="W56" s="32">
        <f>(V56*3%)+V56</f>
        <v>21218000</v>
      </c>
      <c r="X56" s="32">
        <f>(W56*3%)+W56</f>
        <v>21854540</v>
      </c>
      <c r="Y56" s="46">
        <f>+U56+V56+W56+X56</f>
        <v>83672540</v>
      </c>
      <c r="Z56" s="1336"/>
      <c r="AA56" s="40"/>
      <c r="AB56" s="1434"/>
      <c r="AC56" s="38">
        <f t="shared" si="7"/>
        <v>0</v>
      </c>
      <c r="AD56" s="40">
        <f>Y56</f>
        <v>83672540</v>
      </c>
      <c r="AE56" s="1434"/>
      <c r="AF56" s="38">
        <f>+AD56/Y56</f>
        <v>1</v>
      </c>
      <c r="AG56" s="40"/>
      <c r="AH56" s="1336"/>
      <c r="AI56" s="38">
        <f>+AG56/Y56</f>
        <v>0</v>
      </c>
      <c r="AJ56" s="40"/>
      <c r="AK56" s="1336"/>
      <c r="AL56" s="38">
        <f>+AJ56/Y56</f>
        <v>0</v>
      </c>
      <c r="AM56" s="40"/>
      <c r="AN56" s="1381"/>
      <c r="AO56" s="41">
        <f>+AM56/Y56</f>
        <v>0</v>
      </c>
      <c r="AP56" s="986">
        <f>+AA56+AD56+AG56+AJ56+AM56</f>
        <v>83672540</v>
      </c>
      <c r="AQ56" s="18" t="str">
        <f t="shared" si="3"/>
        <v>Bien</v>
      </c>
      <c r="AR56" s="1147" t="s">
        <v>1183</v>
      </c>
    </row>
    <row r="57" spans="1:44" ht="38.25" x14ac:dyDescent="0.25">
      <c r="A57" s="2048"/>
      <c r="B57" s="1864"/>
      <c r="C57" s="2185"/>
      <c r="D57" s="2185"/>
      <c r="E57" s="1934"/>
      <c r="F57" s="1100" t="s">
        <v>123</v>
      </c>
      <c r="G57" s="47" t="s">
        <v>111</v>
      </c>
      <c r="H57" s="47">
        <v>15.5</v>
      </c>
      <c r="I57" s="188">
        <v>15.5</v>
      </c>
      <c r="J57" s="1346" t="s">
        <v>831</v>
      </c>
      <c r="K57" s="69" t="s">
        <v>124</v>
      </c>
      <c r="L57" s="70" t="s">
        <v>39</v>
      </c>
      <c r="M57" s="70">
        <v>0</v>
      </c>
      <c r="N57" s="216">
        <f>80%</f>
        <v>0.8</v>
      </c>
      <c r="O57" s="196">
        <v>0.1</v>
      </c>
      <c r="P57" s="51">
        <v>0.2</v>
      </c>
      <c r="Q57" s="51">
        <v>0.25</v>
      </c>
      <c r="R57" s="51">
        <v>0.25</v>
      </c>
      <c r="S57" s="38"/>
      <c r="T57" s="39">
        <f t="shared" ref="T57:T66" si="15">+SUM(O57:R57)</f>
        <v>0.8</v>
      </c>
      <c r="U57" s="52">
        <v>36000000</v>
      </c>
      <c r="V57" s="32">
        <f t="shared" ref="V57:X58" si="16">(U57*3%)+U57</f>
        <v>37080000</v>
      </c>
      <c r="W57" s="32">
        <f t="shared" si="16"/>
        <v>38192400</v>
      </c>
      <c r="X57" s="32">
        <f t="shared" si="16"/>
        <v>39338172</v>
      </c>
      <c r="Y57" s="46">
        <f>+U57+V57+W57+X57</f>
        <v>150610572</v>
      </c>
      <c r="Z57" s="1336"/>
      <c r="AA57" s="40"/>
      <c r="AB57" s="1434"/>
      <c r="AC57" s="38">
        <f t="shared" si="7"/>
        <v>0</v>
      </c>
      <c r="AD57" s="40">
        <f>Y57</f>
        <v>150610572</v>
      </c>
      <c r="AE57" s="1434"/>
      <c r="AF57" s="38">
        <f>+AD57/Y57</f>
        <v>1</v>
      </c>
      <c r="AG57" s="40"/>
      <c r="AH57" s="1336"/>
      <c r="AI57" s="38">
        <f>+AG57/Y57</f>
        <v>0</v>
      </c>
      <c r="AJ57" s="40"/>
      <c r="AK57" s="1336"/>
      <c r="AL57" s="38">
        <f>+AJ57/Y57</f>
        <v>0</v>
      </c>
      <c r="AM57" s="40"/>
      <c r="AN57" s="1381"/>
      <c r="AO57" s="41">
        <f>+AM57/Y57</f>
        <v>0</v>
      </c>
      <c r="AP57" s="987">
        <f>+AA57+AD57+AG57+AJ57+AM57</f>
        <v>150610572</v>
      </c>
      <c r="AQ57" s="18" t="str">
        <f t="shared" si="3"/>
        <v>Bien</v>
      </c>
      <c r="AR57" s="1148" t="s">
        <v>1183</v>
      </c>
    </row>
    <row r="58" spans="1:44" ht="25.5" x14ac:dyDescent="0.25">
      <c r="A58" s="2048"/>
      <c r="B58" s="1864"/>
      <c r="C58" s="2185"/>
      <c r="D58" s="2185"/>
      <c r="E58" s="1934"/>
      <c r="F58" s="1100" t="s">
        <v>125</v>
      </c>
      <c r="G58" s="47" t="s">
        <v>111</v>
      </c>
      <c r="H58" s="47">
        <v>547.29999999999995</v>
      </c>
      <c r="I58" s="188">
        <v>547.29999999999995</v>
      </c>
      <c r="J58" s="1347"/>
      <c r="K58" s="1346" t="s">
        <v>126</v>
      </c>
      <c r="L58" s="1368" t="s">
        <v>39</v>
      </c>
      <c r="M58" s="1368" t="s">
        <v>107</v>
      </c>
      <c r="N58" s="1360">
        <v>0.8</v>
      </c>
      <c r="O58" s="1369">
        <v>0.1</v>
      </c>
      <c r="P58" s="1370">
        <v>0.2</v>
      </c>
      <c r="Q58" s="1370">
        <v>0.25</v>
      </c>
      <c r="R58" s="1370">
        <v>0.25</v>
      </c>
      <c r="S58" s="1400"/>
      <c r="T58" s="1402">
        <f t="shared" si="15"/>
        <v>0.8</v>
      </c>
      <c r="U58" s="1354">
        <v>94000000</v>
      </c>
      <c r="V58" s="1356">
        <f t="shared" si="16"/>
        <v>96820000</v>
      </c>
      <c r="W58" s="1356">
        <f t="shared" si="16"/>
        <v>99724600</v>
      </c>
      <c r="X58" s="1356">
        <f t="shared" si="16"/>
        <v>102716338</v>
      </c>
      <c r="Y58" s="1398">
        <f>+U58+V58+W58+X58</f>
        <v>393260938</v>
      </c>
      <c r="Z58" s="1336"/>
      <c r="AA58" s="1348"/>
      <c r="AB58" s="1434"/>
      <c r="AC58" s="1350">
        <f t="shared" si="7"/>
        <v>0</v>
      </c>
      <c r="AD58" s="1348">
        <f>Y58</f>
        <v>393260938</v>
      </c>
      <c r="AE58" s="1434"/>
      <c r="AF58" s="1350">
        <f>+AD58/Y58</f>
        <v>1</v>
      </c>
      <c r="AG58" s="1348"/>
      <c r="AH58" s="1336"/>
      <c r="AI58" s="1350">
        <f>+AG58/Y58</f>
        <v>0</v>
      </c>
      <c r="AJ58" s="1348"/>
      <c r="AK58" s="1336"/>
      <c r="AL58" s="1350">
        <f>+AJ58/Y58</f>
        <v>0</v>
      </c>
      <c r="AM58" s="1348"/>
      <c r="AN58" s="1381"/>
      <c r="AO58" s="1374">
        <f>+AM58/Y58</f>
        <v>0</v>
      </c>
      <c r="AP58" s="1396">
        <f>+AA58+AD58+AG58+AJ58+AM58</f>
        <v>393260938</v>
      </c>
      <c r="AQ58" s="18" t="str">
        <f t="shared" si="3"/>
        <v>Bien</v>
      </c>
      <c r="AR58" s="1147" t="s">
        <v>1183</v>
      </c>
    </row>
    <row r="59" spans="1:44" ht="42" customHeight="1" x14ac:dyDescent="0.25">
      <c r="A59" s="2048"/>
      <c r="B59" s="1864"/>
      <c r="C59" s="2185"/>
      <c r="D59" s="2185"/>
      <c r="E59" s="1934"/>
      <c r="F59" s="1111" t="s">
        <v>127</v>
      </c>
      <c r="G59" s="47" t="s">
        <v>128</v>
      </c>
      <c r="H59" s="53">
        <v>0.156</v>
      </c>
      <c r="I59" s="189">
        <v>0.156</v>
      </c>
      <c r="J59" s="1347"/>
      <c r="K59" s="1346"/>
      <c r="L59" s="1368"/>
      <c r="M59" s="1368"/>
      <c r="N59" s="1368"/>
      <c r="O59" s="1331"/>
      <c r="P59" s="1371"/>
      <c r="Q59" s="1371"/>
      <c r="R59" s="1371"/>
      <c r="S59" s="1401"/>
      <c r="T59" s="1403"/>
      <c r="U59" s="1355"/>
      <c r="V59" s="1357"/>
      <c r="W59" s="1357"/>
      <c r="X59" s="1357"/>
      <c r="Y59" s="1399"/>
      <c r="Z59" s="1336"/>
      <c r="AA59" s="1349"/>
      <c r="AB59" s="1434"/>
      <c r="AC59" s="1351"/>
      <c r="AD59" s="1349"/>
      <c r="AE59" s="1434"/>
      <c r="AF59" s="1351"/>
      <c r="AG59" s="1349"/>
      <c r="AH59" s="1336"/>
      <c r="AI59" s="1351"/>
      <c r="AJ59" s="1349"/>
      <c r="AK59" s="1336"/>
      <c r="AL59" s="1351"/>
      <c r="AM59" s="1349"/>
      <c r="AN59" s="1381"/>
      <c r="AO59" s="1376"/>
      <c r="AP59" s="1397"/>
      <c r="AQ59" s="18" t="str">
        <f t="shared" si="3"/>
        <v>Bien</v>
      </c>
      <c r="AR59" s="1147" t="s">
        <v>1183</v>
      </c>
    </row>
    <row r="60" spans="1:44" ht="38.25" customHeight="1" x14ac:dyDescent="0.25">
      <c r="A60" s="2048"/>
      <c r="B60" s="1864"/>
      <c r="C60" s="2185"/>
      <c r="D60" s="2185"/>
      <c r="E60" s="1934"/>
      <c r="F60" s="864" t="s">
        <v>129</v>
      </c>
      <c r="G60" s="43" t="s">
        <v>111</v>
      </c>
      <c r="H60" s="852">
        <v>5.5</v>
      </c>
      <c r="I60" s="852">
        <v>5.5</v>
      </c>
      <c r="J60" s="1346" t="s">
        <v>130</v>
      </c>
      <c r="K60" s="208" t="s">
        <v>577</v>
      </c>
      <c r="L60" s="207" t="s">
        <v>578</v>
      </c>
      <c r="M60" s="207" t="s">
        <v>107</v>
      </c>
      <c r="N60" s="207">
        <v>4</v>
      </c>
      <c r="O60" s="197">
        <v>1</v>
      </c>
      <c r="P60" s="54">
        <v>1</v>
      </c>
      <c r="Q60" s="54">
        <v>1</v>
      </c>
      <c r="R60" s="54">
        <v>1</v>
      </c>
      <c r="S60" s="38"/>
      <c r="T60" s="45">
        <f t="shared" si="15"/>
        <v>4</v>
      </c>
      <c r="U60" s="55">
        <v>25000000</v>
      </c>
      <c r="V60" s="32">
        <f t="shared" ref="V60:X74" si="17">(U60*3%)+U60</f>
        <v>25750000</v>
      </c>
      <c r="W60" s="32">
        <f t="shared" si="17"/>
        <v>26522500</v>
      </c>
      <c r="X60" s="32">
        <f t="shared" si="17"/>
        <v>27318175</v>
      </c>
      <c r="Y60" s="46">
        <f t="shared" ref="Y60:Y69" si="18">+U60+V60+W60+X60</f>
        <v>104590675</v>
      </c>
      <c r="Z60" s="1336"/>
      <c r="AA60" s="40"/>
      <c r="AB60" s="1434"/>
      <c r="AC60" s="38">
        <f t="shared" si="7"/>
        <v>0</v>
      </c>
      <c r="AD60" s="40">
        <f t="shared" ref="AD60:AD69" si="19">Y60</f>
        <v>104590675</v>
      </c>
      <c r="AE60" s="1434"/>
      <c r="AF60" s="38">
        <f t="shared" ref="AF60:AF69" si="20">+AD60/Y60</f>
        <v>1</v>
      </c>
      <c r="AG60" s="40"/>
      <c r="AH60" s="1336"/>
      <c r="AI60" s="38">
        <f t="shared" ref="AI60:AI73" si="21">+AG60/Y60</f>
        <v>0</v>
      </c>
      <c r="AJ60" s="40"/>
      <c r="AK60" s="1336"/>
      <c r="AL60" s="38">
        <f t="shared" ref="AL60:AL73" si="22">+AJ60/Y60</f>
        <v>0</v>
      </c>
      <c r="AM60" s="40"/>
      <c r="AN60" s="1381"/>
      <c r="AO60" s="41">
        <f t="shared" ref="AO60:AO73" si="23">+AM60/Y60</f>
        <v>0</v>
      </c>
      <c r="AP60" s="988">
        <f t="shared" ref="AP60:AP69" si="24">+AA60+AD60+AG60+AJ60+AM60</f>
        <v>104590675</v>
      </c>
      <c r="AQ60" s="18" t="str">
        <f t="shared" si="3"/>
        <v>Bien</v>
      </c>
      <c r="AR60" s="1148" t="s">
        <v>1183</v>
      </c>
    </row>
    <row r="61" spans="1:44" ht="102" x14ac:dyDescent="0.25">
      <c r="A61" s="2048"/>
      <c r="B61" s="1864"/>
      <c r="C61" s="2185"/>
      <c r="D61" s="2185"/>
      <c r="E61" s="1934"/>
      <c r="F61" s="1100" t="s">
        <v>131</v>
      </c>
      <c r="G61" s="851" t="s">
        <v>132</v>
      </c>
      <c r="H61" s="852">
        <v>8.3000000000000007</v>
      </c>
      <c r="I61" s="852">
        <v>7.8</v>
      </c>
      <c r="J61" s="1347"/>
      <c r="K61" s="206" t="s">
        <v>579</v>
      </c>
      <c r="L61" s="202" t="s">
        <v>39</v>
      </c>
      <c r="M61" s="202" t="s">
        <v>107</v>
      </c>
      <c r="N61" s="203">
        <v>1</v>
      </c>
      <c r="O61" s="73">
        <v>0.25</v>
      </c>
      <c r="P61" s="48">
        <v>0.25</v>
      </c>
      <c r="Q61" s="48">
        <v>0.25</v>
      </c>
      <c r="R61" s="48">
        <v>0.25</v>
      </c>
      <c r="S61" s="38"/>
      <c r="T61" s="39">
        <f t="shared" si="15"/>
        <v>1</v>
      </c>
      <c r="U61" s="55">
        <v>55000000</v>
      </c>
      <c r="V61" s="32">
        <f t="shared" si="17"/>
        <v>56650000</v>
      </c>
      <c r="W61" s="32">
        <f t="shared" si="17"/>
        <v>58349500</v>
      </c>
      <c r="X61" s="32">
        <f t="shared" si="17"/>
        <v>60099985</v>
      </c>
      <c r="Y61" s="46">
        <f t="shared" si="18"/>
        <v>230099485</v>
      </c>
      <c r="Z61" s="1336"/>
      <c r="AA61" s="40"/>
      <c r="AB61" s="1434"/>
      <c r="AC61" s="38">
        <f t="shared" si="7"/>
        <v>0</v>
      </c>
      <c r="AD61" s="40">
        <f t="shared" si="19"/>
        <v>230099485</v>
      </c>
      <c r="AE61" s="1434"/>
      <c r="AF61" s="38">
        <f t="shared" si="20"/>
        <v>1</v>
      </c>
      <c r="AG61" s="40"/>
      <c r="AH61" s="1336"/>
      <c r="AI61" s="38">
        <f t="shared" si="21"/>
        <v>0</v>
      </c>
      <c r="AJ61" s="40"/>
      <c r="AK61" s="1336"/>
      <c r="AL61" s="38">
        <f t="shared" si="22"/>
        <v>0</v>
      </c>
      <c r="AM61" s="40"/>
      <c r="AN61" s="1381"/>
      <c r="AO61" s="41">
        <f t="shared" si="23"/>
        <v>0</v>
      </c>
      <c r="AP61" s="988">
        <f t="shared" si="24"/>
        <v>230099485</v>
      </c>
      <c r="AQ61" s="18" t="str">
        <f t="shared" si="3"/>
        <v>Bien</v>
      </c>
      <c r="AR61" s="1147" t="s">
        <v>1183</v>
      </c>
    </row>
    <row r="62" spans="1:44" ht="76.5" x14ac:dyDescent="0.25">
      <c r="A62" s="2048"/>
      <c r="B62" s="1864"/>
      <c r="C62" s="2185"/>
      <c r="D62" s="2185"/>
      <c r="E62" s="1934"/>
      <c r="F62" s="1404" t="s">
        <v>133</v>
      </c>
      <c r="G62" s="1406" t="s">
        <v>134</v>
      </c>
      <c r="H62" s="1330">
        <v>2</v>
      </c>
      <c r="I62" s="1336">
        <v>2</v>
      </c>
      <c r="J62" s="1347"/>
      <c r="K62" s="206" t="s">
        <v>135</v>
      </c>
      <c r="L62" s="202" t="s">
        <v>580</v>
      </c>
      <c r="M62" s="202">
        <v>5004</v>
      </c>
      <c r="N62" s="202">
        <v>5153</v>
      </c>
      <c r="O62" s="59">
        <v>1271</v>
      </c>
      <c r="P62" s="44">
        <v>1281</v>
      </c>
      <c r="Q62" s="44">
        <v>1291</v>
      </c>
      <c r="R62" s="44">
        <v>1310</v>
      </c>
      <c r="S62" s="38"/>
      <c r="T62" s="45">
        <f t="shared" si="15"/>
        <v>5153</v>
      </c>
      <c r="U62" s="55">
        <v>45000000</v>
      </c>
      <c r="V62" s="32">
        <f t="shared" si="17"/>
        <v>46350000</v>
      </c>
      <c r="W62" s="32">
        <f t="shared" si="17"/>
        <v>47740500</v>
      </c>
      <c r="X62" s="32">
        <f t="shared" si="17"/>
        <v>49172715</v>
      </c>
      <c r="Y62" s="46">
        <f t="shared" si="18"/>
        <v>188263215</v>
      </c>
      <c r="Z62" s="1336"/>
      <c r="AA62" s="40"/>
      <c r="AB62" s="1434"/>
      <c r="AC62" s="38">
        <f t="shared" si="7"/>
        <v>0</v>
      </c>
      <c r="AD62" s="40">
        <f t="shared" si="19"/>
        <v>188263215</v>
      </c>
      <c r="AE62" s="1434"/>
      <c r="AF62" s="38">
        <f t="shared" si="20"/>
        <v>1</v>
      </c>
      <c r="AG62" s="40"/>
      <c r="AH62" s="1336"/>
      <c r="AI62" s="38">
        <f t="shared" si="21"/>
        <v>0</v>
      </c>
      <c r="AJ62" s="40"/>
      <c r="AK62" s="1336"/>
      <c r="AL62" s="38">
        <f t="shared" si="22"/>
        <v>0</v>
      </c>
      <c r="AM62" s="40"/>
      <c r="AN62" s="1381"/>
      <c r="AO62" s="41">
        <f t="shared" si="23"/>
        <v>0</v>
      </c>
      <c r="AP62" s="988">
        <f t="shared" si="24"/>
        <v>188263215</v>
      </c>
      <c r="AQ62" s="18" t="str">
        <f t="shared" si="3"/>
        <v>Bien</v>
      </c>
      <c r="AR62" s="1147" t="s">
        <v>1183</v>
      </c>
    </row>
    <row r="63" spans="1:44" ht="76.5" x14ac:dyDescent="0.25">
      <c r="A63" s="2048"/>
      <c r="B63" s="1864"/>
      <c r="C63" s="2185"/>
      <c r="D63" s="2185"/>
      <c r="E63" s="1934"/>
      <c r="F63" s="1405"/>
      <c r="G63" s="1407"/>
      <c r="H63" s="1408"/>
      <c r="I63" s="1409"/>
      <c r="J63" s="1347"/>
      <c r="K63" s="206" t="s">
        <v>581</v>
      </c>
      <c r="L63" s="202" t="s">
        <v>39</v>
      </c>
      <c r="M63" s="203">
        <v>0</v>
      </c>
      <c r="N63" s="203">
        <v>1</v>
      </c>
      <c r="O63" s="73">
        <v>0.25</v>
      </c>
      <c r="P63" s="48">
        <v>0.25</v>
      </c>
      <c r="Q63" s="48">
        <v>0.25</v>
      </c>
      <c r="R63" s="48">
        <v>0.25</v>
      </c>
      <c r="S63" s="38"/>
      <c r="T63" s="39">
        <f t="shared" si="15"/>
        <v>1</v>
      </c>
      <c r="U63" s="55">
        <v>45000000</v>
      </c>
      <c r="V63" s="32">
        <f t="shared" si="17"/>
        <v>46350000</v>
      </c>
      <c r="W63" s="32">
        <f t="shared" si="17"/>
        <v>47740500</v>
      </c>
      <c r="X63" s="32">
        <f t="shared" si="17"/>
        <v>49172715</v>
      </c>
      <c r="Y63" s="46">
        <f t="shared" si="18"/>
        <v>188263215</v>
      </c>
      <c r="Z63" s="1336"/>
      <c r="AA63" s="40"/>
      <c r="AB63" s="1434"/>
      <c r="AC63" s="38">
        <f t="shared" si="7"/>
        <v>0</v>
      </c>
      <c r="AD63" s="40">
        <f t="shared" si="19"/>
        <v>188263215</v>
      </c>
      <c r="AE63" s="1434"/>
      <c r="AF63" s="38">
        <f t="shared" si="20"/>
        <v>1</v>
      </c>
      <c r="AG63" s="40"/>
      <c r="AH63" s="1336"/>
      <c r="AI63" s="38">
        <f t="shared" si="21"/>
        <v>0</v>
      </c>
      <c r="AJ63" s="40"/>
      <c r="AK63" s="1336"/>
      <c r="AL63" s="38">
        <f t="shared" si="22"/>
        <v>0</v>
      </c>
      <c r="AM63" s="40"/>
      <c r="AN63" s="1381"/>
      <c r="AO63" s="41">
        <f t="shared" si="23"/>
        <v>0</v>
      </c>
      <c r="AP63" s="988">
        <f t="shared" si="24"/>
        <v>188263215</v>
      </c>
      <c r="AQ63" s="18" t="str">
        <f t="shared" si="3"/>
        <v>Bien</v>
      </c>
      <c r="AR63" s="1147" t="s">
        <v>1183</v>
      </c>
    </row>
    <row r="64" spans="1:44" ht="89.25" x14ac:dyDescent="0.25">
      <c r="A64" s="2048"/>
      <c r="B64" s="1864"/>
      <c r="C64" s="2185"/>
      <c r="D64" s="2185"/>
      <c r="E64" s="1934"/>
      <c r="F64" s="864" t="s">
        <v>136</v>
      </c>
      <c r="G64" s="56" t="s">
        <v>137</v>
      </c>
      <c r="H64" s="43">
        <v>21.9</v>
      </c>
      <c r="I64" s="76">
        <v>21.9</v>
      </c>
      <c r="J64" s="1346" t="s">
        <v>138</v>
      </c>
      <c r="K64" s="208" t="s">
        <v>582</v>
      </c>
      <c r="L64" s="207" t="s">
        <v>39</v>
      </c>
      <c r="M64" s="209">
        <v>0</v>
      </c>
      <c r="N64" s="209">
        <v>1</v>
      </c>
      <c r="O64" s="73">
        <v>0.25</v>
      </c>
      <c r="P64" s="48">
        <v>0.25</v>
      </c>
      <c r="Q64" s="48">
        <v>0.25</v>
      </c>
      <c r="R64" s="48">
        <v>0.25</v>
      </c>
      <c r="S64" s="38"/>
      <c r="T64" s="39">
        <f t="shared" si="15"/>
        <v>1</v>
      </c>
      <c r="U64" s="55">
        <v>15000000</v>
      </c>
      <c r="V64" s="57">
        <f t="shared" si="17"/>
        <v>15450000</v>
      </c>
      <c r="W64" s="58">
        <f t="shared" si="17"/>
        <v>15913500</v>
      </c>
      <c r="X64" s="58">
        <f t="shared" si="17"/>
        <v>16390905</v>
      </c>
      <c r="Y64" s="34">
        <f t="shared" si="18"/>
        <v>62754405</v>
      </c>
      <c r="Z64" s="1336"/>
      <c r="AA64" s="40"/>
      <c r="AB64" s="1434"/>
      <c r="AC64" s="38">
        <f t="shared" si="7"/>
        <v>0</v>
      </c>
      <c r="AD64" s="40">
        <f t="shared" si="19"/>
        <v>62754405</v>
      </c>
      <c r="AE64" s="1434"/>
      <c r="AF64" s="38">
        <f t="shared" si="20"/>
        <v>1</v>
      </c>
      <c r="AG64" s="40"/>
      <c r="AH64" s="1336"/>
      <c r="AI64" s="38">
        <f t="shared" si="21"/>
        <v>0</v>
      </c>
      <c r="AJ64" s="40"/>
      <c r="AK64" s="1336"/>
      <c r="AL64" s="38">
        <f t="shared" si="22"/>
        <v>0</v>
      </c>
      <c r="AM64" s="40"/>
      <c r="AN64" s="1381"/>
      <c r="AO64" s="41">
        <f t="shared" si="23"/>
        <v>0</v>
      </c>
      <c r="AP64" s="989">
        <f t="shared" si="24"/>
        <v>62754405</v>
      </c>
      <c r="AQ64" s="18" t="str">
        <f t="shared" si="3"/>
        <v>Bien</v>
      </c>
      <c r="AR64" s="1148" t="s">
        <v>1184</v>
      </c>
    </row>
    <row r="65" spans="1:44" ht="63.75" x14ac:dyDescent="0.25">
      <c r="A65" s="2048"/>
      <c r="B65" s="1864"/>
      <c r="C65" s="2185"/>
      <c r="D65" s="2185"/>
      <c r="E65" s="1934"/>
      <c r="F65" s="864" t="s">
        <v>139</v>
      </c>
      <c r="G65" s="43" t="s">
        <v>111</v>
      </c>
      <c r="H65" s="43">
        <v>0.9</v>
      </c>
      <c r="I65" s="76">
        <v>0.7</v>
      </c>
      <c r="J65" s="1347"/>
      <c r="K65" s="206" t="s">
        <v>583</v>
      </c>
      <c r="L65" s="202" t="s">
        <v>39</v>
      </c>
      <c r="M65" s="203">
        <v>0</v>
      </c>
      <c r="N65" s="203">
        <v>1</v>
      </c>
      <c r="O65" s="73">
        <v>0.25</v>
      </c>
      <c r="P65" s="48">
        <v>0.25</v>
      </c>
      <c r="Q65" s="48">
        <v>0.25</v>
      </c>
      <c r="R65" s="48">
        <v>0.25</v>
      </c>
      <c r="S65" s="38"/>
      <c r="T65" s="39">
        <f t="shared" si="15"/>
        <v>1</v>
      </c>
      <c r="U65" s="55">
        <v>70000000</v>
      </c>
      <c r="V65" s="57">
        <f t="shared" si="17"/>
        <v>72100000</v>
      </c>
      <c r="W65" s="58">
        <f t="shared" si="17"/>
        <v>74263000</v>
      </c>
      <c r="X65" s="58">
        <f t="shared" si="17"/>
        <v>76490890</v>
      </c>
      <c r="Y65" s="34">
        <f t="shared" si="18"/>
        <v>292853890</v>
      </c>
      <c r="Z65" s="1336"/>
      <c r="AA65" s="40"/>
      <c r="AB65" s="1434"/>
      <c r="AC65" s="38">
        <f t="shared" si="7"/>
        <v>0</v>
      </c>
      <c r="AD65" s="34">
        <f t="shared" si="19"/>
        <v>292853890</v>
      </c>
      <c r="AE65" s="1434"/>
      <c r="AF65" s="38">
        <f t="shared" si="20"/>
        <v>1</v>
      </c>
      <c r="AG65" s="40"/>
      <c r="AH65" s="1336"/>
      <c r="AI65" s="38">
        <f t="shared" si="21"/>
        <v>0</v>
      </c>
      <c r="AJ65" s="40"/>
      <c r="AK65" s="1336"/>
      <c r="AL65" s="38">
        <f t="shared" si="22"/>
        <v>0</v>
      </c>
      <c r="AM65" s="40"/>
      <c r="AN65" s="1381"/>
      <c r="AO65" s="41">
        <f t="shared" si="23"/>
        <v>0</v>
      </c>
      <c r="AP65" s="989">
        <f t="shared" si="24"/>
        <v>292853890</v>
      </c>
      <c r="AQ65" s="18" t="str">
        <f t="shared" si="3"/>
        <v>Bien</v>
      </c>
      <c r="AR65" s="1147" t="s">
        <v>1183</v>
      </c>
    </row>
    <row r="66" spans="1:44" ht="76.5" x14ac:dyDescent="0.25">
      <c r="A66" s="2048"/>
      <c r="B66" s="1864"/>
      <c r="C66" s="2185"/>
      <c r="D66" s="2185"/>
      <c r="E66" s="1934"/>
      <c r="F66" s="864" t="s">
        <v>140</v>
      </c>
      <c r="G66" s="43" t="s">
        <v>111</v>
      </c>
      <c r="H66" s="43">
        <v>73.400000000000006</v>
      </c>
      <c r="I66" s="76">
        <v>68.38</v>
      </c>
      <c r="J66" s="1347"/>
      <c r="K66" s="206" t="s">
        <v>141</v>
      </c>
      <c r="L66" s="202" t="s">
        <v>39</v>
      </c>
      <c r="M66" s="202">
        <v>0</v>
      </c>
      <c r="N66" s="203">
        <v>1</v>
      </c>
      <c r="O66" s="73">
        <v>0.15</v>
      </c>
      <c r="P66" s="48">
        <v>0.25</v>
      </c>
      <c r="Q66" s="48">
        <v>0.3</v>
      </c>
      <c r="R66" s="48">
        <v>0.3</v>
      </c>
      <c r="S66" s="38"/>
      <c r="T66" s="39">
        <f t="shared" si="15"/>
        <v>1</v>
      </c>
      <c r="U66" s="55">
        <v>15000000</v>
      </c>
      <c r="V66" s="57">
        <f t="shared" si="17"/>
        <v>15450000</v>
      </c>
      <c r="W66" s="58">
        <f t="shared" si="17"/>
        <v>15913500</v>
      </c>
      <c r="X66" s="58">
        <f t="shared" si="17"/>
        <v>16390905</v>
      </c>
      <c r="Y66" s="34">
        <f t="shared" si="18"/>
        <v>62754405</v>
      </c>
      <c r="Z66" s="1336"/>
      <c r="AA66" s="40"/>
      <c r="AB66" s="1434"/>
      <c r="AC66" s="38">
        <f t="shared" si="7"/>
        <v>0</v>
      </c>
      <c r="AD66" s="34">
        <f t="shared" si="19"/>
        <v>62754405</v>
      </c>
      <c r="AE66" s="1434"/>
      <c r="AF66" s="38">
        <f t="shared" si="20"/>
        <v>1</v>
      </c>
      <c r="AG66" s="40"/>
      <c r="AH66" s="1336"/>
      <c r="AI66" s="38">
        <f t="shared" si="21"/>
        <v>0</v>
      </c>
      <c r="AJ66" s="40"/>
      <c r="AK66" s="1336"/>
      <c r="AL66" s="38">
        <f t="shared" si="22"/>
        <v>0</v>
      </c>
      <c r="AM66" s="40"/>
      <c r="AN66" s="1381"/>
      <c r="AO66" s="41">
        <f t="shared" si="23"/>
        <v>0</v>
      </c>
      <c r="AP66" s="989">
        <f t="shared" si="24"/>
        <v>62754405</v>
      </c>
      <c r="AQ66" s="18" t="str">
        <f t="shared" si="3"/>
        <v>Bien</v>
      </c>
      <c r="AR66" s="1148" t="s">
        <v>1185</v>
      </c>
    </row>
    <row r="67" spans="1:44" ht="63.75" x14ac:dyDescent="0.25">
      <c r="A67" s="2048"/>
      <c r="B67" s="1864"/>
      <c r="C67" s="2185"/>
      <c r="D67" s="2185"/>
      <c r="E67" s="1934"/>
      <c r="F67" s="1305" t="s">
        <v>142</v>
      </c>
      <c r="G67" s="1306" t="s">
        <v>111</v>
      </c>
      <c r="H67" s="1306">
        <v>3.6</v>
      </c>
      <c r="I67" s="1410">
        <v>3.6</v>
      </c>
      <c r="J67" s="1347"/>
      <c r="K67" s="201" t="s">
        <v>143</v>
      </c>
      <c r="L67" s="210" t="s">
        <v>39</v>
      </c>
      <c r="M67" s="211">
        <v>0</v>
      </c>
      <c r="N67" s="211">
        <v>1</v>
      </c>
      <c r="O67" s="73">
        <v>0.1</v>
      </c>
      <c r="P67" s="48">
        <v>0.3</v>
      </c>
      <c r="Q67" s="48">
        <v>0.3</v>
      </c>
      <c r="R67" s="48">
        <v>0.3</v>
      </c>
      <c r="S67" s="38"/>
      <c r="T67" s="39">
        <v>1</v>
      </c>
      <c r="U67" s="55">
        <v>5000000</v>
      </c>
      <c r="V67" s="57">
        <f t="shared" si="17"/>
        <v>5150000</v>
      </c>
      <c r="W67" s="58">
        <f t="shared" si="17"/>
        <v>5304500</v>
      </c>
      <c r="X67" s="58">
        <f t="shared" si="17"/>
        <v>5463635</v>
      </c>
      <c r="Y67" s="34">
        <f t="shared" si="18"/>
        <v>20918135</v>
      </c>
      <c r="Z67" s="1336"/>
      <c r="AA67" s="40"/>
      <c r="AB67" s="1434"/>
      <c r="AC67" s="38">
        <f t="shared" si="7"/>
        <v>0</v>
      </c>
      <c r="AD67" s="34">
        <f t="shared" si="19"/>
        <v>20918135</v>
      </c>
      <c r="AE67" s="1434"/>
      <c r="AF67" s="38">
        <f t="shared" si="20"/>
        <v>1</v>
      </c>
      <c r="AG67" s="40"/>
      <c r="AH67" s="1336"/>
      <c r="AI67" s="38">
        <f t="shared" si="21"/>
        <v>0</v>
      </c>
      <c r="AJ67" s="40"/>
      <c r="AK67" s="1336"/>
      <c r="AL67" s="38">
        <f t="shared" si="22"/>
        <v>0</v>
      </c>
      <c r="AM67" s="40"/>
      <c r="AN67" s="1381"/>
      <c r="AO67" s="41">
        <f t="shared" si="23"/>
        <v>0</v>
      </c>
      <c r="AP67" s="989">
        <f t="shared" si="24"/>
        <v>20918135</v>
      </c>
      <c r="AQ67" s="18" t="str">
        <f t="shared" si="3"/>
        <v>Bien</v>
      </c>
      <c r="AR67" s="1147" t="s">
        <v>1183</v>
      </c>
    </row>
    <row r="68" spans="1:44" ht="102" x14ac:dyDescent="0.25">
      <c r="A68" s="2048"/>
      <c r="B68" s="1864"/>
      <c r="C68" s="2185"/>
      <c r="D68" s="2185"/>
      <c r="E68" s="1934"/>
      <c r="F68" s="1300"/>
      <c r="G68" s="1302"/>
      <c r="H68" s="1302"/>
      <c r="I68" s="1309"/>
      <c r="J68" s="1347"/>
      <c r="K68" s="201" t="s">
        <v>584</v>
      </c>
      <c r="L68" s="210" t="s">
        <v>39</v>
      </c>
      <c r="M68" s="211">
        <v>0</v>
      </c>
      <c r="N68" s="211">
        <v>1</v>
      </c>
      <c r="O68" s="73">
        <v>0.15</v>
      </c>
      <c r="P68" s="48">
        <v>0.25</v>
      </c>
      <c r="Q68" s="48">
        <v>0.3</v>
      </c>
      <c r="R68" s="48">
        <v>0.3</v>
      </c>
      <c r="S68" s="38"/>
      <c r="T68" s="39">
        <v>1</v>
      </c>
      <c r="U68" s="55">
        <v>15000000</v>
      </c>
      <c r="V68" s="57">
        <f t="shared" si="17"/>
        <v>15450000</v>
      </c>
      <c r="W68" s="58">
        <f t="shared" si="17"/>
        <v>15913500</v>
      </c>
      <c r="X68" s="58">
        <f t="shared" si="17"/>
        <v>16390905</v>
      </c>
      <c r="Y68" s="34">
        <f t="shared" si="18"/>
        <v>62754405</v>
      </c>
      <c r="Z68" s="1336"/>
      <c r="AA68" s="40"/>
      <c r="AB68" s="1434"/>
      <c r="AC68" s="38">
        <f t="shared" si="7"/>
        <v>0</v>
      </c>
      <c r="AD68" s="34">
        <f t="shared" si="19"/>
        <v>62754405</v>
      </c>
      <c r="AE68" s="1434"/>
      <c r="AF68" s="38">
        <f t="shared" si="20"/>
        <v>1</v>
      </c>
      <c r="AG68" s="40"/>
      <c r="AH68" s="1336"/>
      <c r="AI68" s="38">
        <f t="shared" si="21"/>
        <v>0</v>
      </c>
      <c r="AJ68" s="40"/>
      <c r="AK68" s="1336"/>
      <c r="AL68" s="38">
        <f t="shared" si="22"/>
        <v>0</v>
      </c>
      <c r="AM68" s="40"/>
      <c r="AN68" s="1381"/>
      <c r="AO68" s="41">
        <f t="shared" si="23"/>
        <v>0</v>
      </c>
      <c r="AP68" s="989">
        <f t="shared" si="24"/>
        <v>62754405</v>
      </c>
      <c r="AQ68" s="18" t="str">
        <f t="shared" si="3"/>
        <v>Bien</v>
      </c>
      <c r="AR68" s="1147" t="s">
        <v>1183</v>
      </c>
    </row>
    <row r="69" spans="1:44" ht="27" customHeight="1" x14ac:dyDescent="0.25">
      <c r="A69" s="2048"/>
      <c r="B69" s="1864"/>
      <c r="C69" s="2185"/>
      <c r="D69" s="2185"/>
      <c r="E69" s="1934"/>
      <c r="F69" s="864" t="s">
        <v>144</v>
      </c>
      <c r="G69" s="43" t="s">
        <v>111</v>
      </c>
      <c r="H69" s="43">
        <v>18.14</v>
      </c>
      <c r="I69" s="76">
        <v>18.14</v>
      </c>
      <c r="J69" s="1347"/>
      <c r="K69" s="1383" t="s">
        <v>145</v>
      </c>
      <c r="L69" s="1368" t="s">
        <v>39</v>
      </c>
      <c r="M69" s="1360">
        <v>0</v>
      </c>
      <c r="N69" s="1360">
        <v>1</v>
      </c>
      <c r="O69" s="1342">
        <v>0.15</v>
      </c>
      <c r="P69" s="1344">
        <v>0.25</v>
      </c>
      <c r="Q69" s="1344">
        <v>0.3</v>
      </c>
      <c r="R69" s="1344">
        <v>0.3</v>
      </c>
      <c r="S69" s="38"/>
      <c r="T69" s="1307">
        <v>1</v>
      </c>
      <c r="U69" s="1354">
        <v>15000000</v>
      </c>
      <c r="V69" s="1358">
        <f t="shared" si="17"/>
        <v>15450000</v>
      </c>
      <c r="W69" s="1358">
        <f t="shared" si="17"/>
        <v>15913500</v>
      </c>
      <c r="X69" s="1358">
        <f t="shared" si="17"/>
        <v>16390905</v>
      </c>
      <c r="Y69" s="1352">
        <f t="shared" si="18"/>
        <v>62754405</v>
      </c>
      <c r="Z69" s="1336"/>
      <c r="AA69" s="1348"/>
      <c r="AB69" s="1434"/>
      <c r="AC69" s="1350">
        <f t="shared" si="7"/>
        <v>0</v>
      </c>
      <c r="AD69" s="1352">
        <f t="shared" si="19"/>
        <v>62754405</v>
      </c>
      <c r="AE69" s="1434"/>
      <c r="AF69" s="1350">
        <f t="shared" si="20"/>
        <v>1</v>
      </c>
      <c r="AG69" s="1348"/>
      <c r="AH69" s="1336"/>
      <c r="AI69" s="1350">
        <f t="shared" si="21"/>
        <v>0</v>
      </c>
      <c r="AJ69" s="1348"/>
      <c r="AK69" s="1336"/>
      <c r="AL69" s="1350">
        <f t="shared" si="22"/>
        <v>0</v>
      </c>
      <c r="AM69" s="1348"/>
      <c r="AN69" s="1381"/>
      <c r="AO69" s="1374">
        <f t="shared" si="23"/>
        <v>0</v>
      </c>
      <c r="AP69" s="1384">
        <f t="shared" si="24"/>
        <v>62754405</v>
      </c>
      <c r="AQ69" s="18" t="str">
        <f t="shared" si="3"/>
        <v>Bien</v>
      </c>
      <c r="AR69" s="1147" t="s">
        <v>1183</v>
      </c>
    </row>
    <row r="70" spans="1:44" ht="41.25" customHeight="1" x14ac:dyDescent="0.25">
      <c r="A70" s="2048"/>
      <c r="B70" s="1864"/>
      <c r="C70" s="2185"/>
      <c r="D70" s="2185"/>
      <c r="E70" s="1934"/>
      <c r="F70" s="864" t="s">
        <v>146</v>
      </c>
      <c r="G70" s="43" t="s">
        <v>111</v>
      </c>
      <c r="H70" s="43">
        <v>11.87</v>
      </c>
      <c r="I70" s="76">
        <v>11.87</v>
      </c>
      <c r="J70" s="1347"/>
      <c r="K70" s="1383"/>
      <c r="L70" s="1368"/>
      <c r="M70" s="1360"/>
      <c r="N70" s="1360"/>
      <c r="O70" s="1343"/>
      <c r="P70" s="1345"/>
      <c r="Q70" s="1345"/>
      <c r="R70" s="1345"/>
      <c r="S70" s="38"/>
      <c r="T70" s="1418"/>
      <c r="U70" s="1355"/>
      <c r="V70" s="1359"/>
      <c r="W70" s="1359">
        <f t="shared" si="17"/>
        <v>0</v>
      </c>
      <c r="X70" s="1359">
        <f t="shared" si="17"/>
        <v>0</v>
      </c>
      <c r="Y70" s="1353"/>
      <c r="Z70" s="1336"/>
      <c r="AA70" s="1349"/>
      <c r="AB70" s="1434"/>
      <c r="AC70" s="1351"/>
      <c r="AD70" s="1353"/>
      <c r="AE70" s="1434"/>
      <c r="AF70" s="1351"/>
      <c r="AG70" s="1349"/>
      <c r="AH70" s="1336"/>
      <c r="AI70" s="1351" t="e">
        <f t="shared" si="21"/>
        <v>#DIV/0!</v>
      </c>
      <c r="AJ70" s="1349"/>
      <c r="AK70" s="1336"/>
      <c r="AL70" s="1351" t="e">
        <f t="shared" si="22"/>
        <v>#DIV/0!</v>
      </c>
      <c r="AM70" s="1349"/>
      <c r="AN70" s="1381"/>
      <c r="AO70" s="1376" t="e">
        <f t="shared" si="23"/>
        <v>#DIV/0!</v>
      </c>
      <c r="AP70" s="1385"/>
      <c r="AQ70" s="18" t="str">
        <f t="shared" si="3"/>
        <v>Bien</v>
      </c>
      <c r="AR70" s="1147" t="s">
        <v>1183</v>
      </c>
    </row>
    <row r="71" spans="1:44" ht="63.75" x14ac:dyDescent="0.25">
      <c r="A71" s="2048"/>
      <c r="B71" s="1864"/>
      <c r="C71" s="2185"/>
      <c r="D71" s="2185"/>
      <c r="E71" s="1934"/>
      <c r="F71" s="1100" t="s">
        <v>147</v>
      </c>
      <c r="G71" s="47" t="s">
        <v>111</v>
      </c>
      <c r="H71" s="47">
        <v>814.62</v>
      </c>
      <c r="I71" s="188">
        <v>814.62</v>
      </c>
      <c r="J71" s="1347"/>
      <c r="K71" s="201" t="s">
        <v>585</v>
      </c>
      <c r="L71" s="210" t="s">
        <v>39</v>
      </c>
      <c r="M71" s="211">
        <v>0</v>
      </c>
      <c r="N71" s="211">
        <v>1</v>
      </c>
      <c r="O71" s="73">
        <v>0.15</v>
      </c>
      <c r="P71" s="48">
        <v>0.25</v>
      </c>
      <c r="Q71" s="48">
        <v>0.3</v>
      </c>
      <c r="R71" s="48">
        <v>0.3</v>
      </c>
      <c r="S71" s="38"/>
      <c r="T71" s="39">
        <f t="shared" ref="T71:T86" si="25">+SUM(O71:R71)</f>
        <v>1</v>
      </c>
      <c r="U71" s="55">
        <v>25000000</v>
      </c>
      <c r="V71" s="57">
        <f t="shared" si="17"/>
        <v>25750000</v>
      </c>
      <c r="W71" s="58">
        <f t="shared" si="17"/>
        <v>26522500</v>
      </c>
      <c r="X71" s="58">
        <f t="shared" si="17"/>
        <v>27318175</v>
      </c>
      <c r="Y71" s="34">
        <f>+U71+V71+W71+X71</f>
        <v>104590675</v>
      </c>
      <c r="Z71" s="1336"/>
      <c r="AA71" s="40"/>
      <c r="AB71" s="1434"/>
      <c r="AC71" s="38">
        <f t="shared" si="7"/>
        <v>0</v>
      </c>
      <c r="AD71" s="34">
        <f>Y71</f>
        <v>104590675</v>
      </c>
      <c r="AE71" s="1434"/>
      <c r="AF71" s="38">
        <f>+AD71/Y71</f>
        <v>1</v>
      </c>
      <c r="AG71" s="40"/>
      <c r="AH71" s="1336"/>
      <c r="AI71" s="38">
        <f t="shared" si="21"/>
        <v>0</v>
      </c>
      <c r="AJ71" s="40"/>
      <c r="AK71" s="1336"/>
      <c r="AL71" s="38">
        <f t="shared" si="22"/>
        <v>0</v>
      </c>
      <c r="AM71" s="40"/>
      <c r="AN71" s="1381"/>
      <c r="AO71" s="41">
        <f t="shared" si="23"/>
        <v>0</v>
      </c>
      <c r="AP71" s="989">
        <f>+AA71+AD71+AG71+AJ71+AM71</f>
        <v>104590675</v>
      </c>
      <c r="AQ71" s="18" t="str">
        <f t="shared" si="3"/>
        <v>Bien</v>
      </c>
      <c r="AR71" s="1147" t="s">
        <v>1183</v>
      </c>
    </row>
    <row r="72" spans="1:44" ht="102" x14ac:dyDescent="0.25">
      <c r="A72" s="2048"/>
      <c r="B72" s="1864"/>
      <c r="C72" s="2185"/>
      <c r="D72" s="2185"/>
      <c r="E72" s="1934"/>
      <c r="F72" s="1386" t="s">
        <v>148</v>
      </c>
      <c r="G72" s="1389" t="s">
        <v>111</v>
      </c>
      <c r="H72" s="1389">
        <v>1.1000000000000001</v>
      </c>
      <c r="I72" s="1392">
        <v>1.1000000000000001</v>
      </c>
      <c r="J72" s="1368" t="s">
        <v>149</v>
      </c>
      <c r="K72" s="201" t="s">
        <v>150</v>
      </c>
      <c r="L72" s="210" t="s">
        <v>578</v>
      </c>
      <c r="M72" s="210" t="s">
        <v>107</v>
      </c>
      <c r="N72" s="210">
        <v>4</v>
      </c>
      <c r="O72" s="59">
        <v>1</v>
      </c>
      <c r="P72" s="44">
        <v>1</v>
      </c>
      <c r="Q72" s="44">
        <v>1</v>
      </c>
      <c r="R72" s="44">
        <v>1</v>
      </c>
      <c r="S72" s="38"/>
      <c r="T72" s="45">
        <f t="shared" si="25"/>
        <v>4</v>
      </c>
      <c r="U72" s="55">
        <v>20000000</v>
      </c>
      <c r="V72" s="57">
        <f t="shared" si="17"/>
        <v>20600000</v>
      </c>
      <c r="W72" s="58">
        <f t="shared" si="17"/>
        <v>21218000</v>
      </c>
      <c r="X72" s="58">
        <f t="shared" si="17"/>
        <v>21854540</v>
      </c>
      <c r="Y72" s="34">
        <f>+U72+V72+W72+X72</f>
        <v>83672540</v>
      </c>
      <c r="Z72" s="1336"/>
      <c r="AA72" s="40"/>
      <c r="AB72" s="1434"/>
      <c r="AC72" s="38">
        <f t="shared" si="7"/>
        <v>0</v>
      </c>
      <c r="AD72" s="34">
        <f>Y72</f>
        <v>83672540</v>
      </c>
      <c r="AE72" s="1434"/>
      <c r="AF72" s="38">
        <f>+AD72/Y72</f>
        <v>1</v>
      </c>
      <c r="AG72" s="40"/>
      <c r="AH72" s="1336"/>
      <c r="AI72" s="38">
        <f t="shared" si="21"/>
        <v>0</v>
      </c>
      <c r="AJ72" s="40"/>
      <c r="AK72" s="1336"/>
      <c r="AL72" s="38">
        <f t="shared" si="22"/>
        <v>0</v>
      </c>
      <c r="AM72" s="40"/>
      <c r="AN72" s="1381"/>
      <c r="AO72" s="41">
        <f t="shared" si="23"/>
        <v>0</v>
      </c>
      <c r="AP72" s="990">
        <f>+AA72+AD72+AG72+AJ72+AM72</f>
        <v>83672540</v>
      </c>
      <c r="AQ72" s="18" t="str">
        <f t="shared" ref="AQ72:AQ114" si="26">+IF(Y72=AP72,"Bien","Error")</f>
        <v>Bien</v>
      </c>
      <c r="AR72" s="1147" t="s">
        <v>1183</v>
      </c>
    </row>
    <row r="73" spans="1:44" ht="38.25" x14ac:dyDescent="0.25">
      <c r="A73" s="2048"/>
      <c r="B73" s="1864"/>
      <c r="C73" s="2185"/>
      <c r="D73" s="2185"/>
      <c r="E73" s="1934"/>
      <c r="F73" s="1387"/>
      <c r="G73" s="1390"/>
      <c r="H73" s="1390"/>
      <c r="I73" s="1393"/>
      <c r="J73" s="1368"/>
      <c r="K73" s="201" t="s">
        <v>151</v>
      </c>
      <c r="L73" s="202" t="s">
        <v>578</v>
      </c>
      <c r="M73" s="202" t="s">
        <v>107</v>
      </c>
      <c r="N73" s="202">
        <v>1900</v>
      </c>
      <c r="O73" s="60">
        <v>100</v>
      </c>
      <c r="P73" s="61">
        <v>450</v>
      </c>
      <c r="Q73" s="61">
        <v>700</v>
      </c>
      <c r="R73" s="61">
        <v>650</v>
      </c>
      <c r="S73" s="38"/>
      <c r="T73" s="45">
        <f t="shared" si="25"/>
        <v>1900</v>
      </c>
      <c r="U73" s="55">
        <v>20000000</v>
      </c>
      <c r="V73" s="57">
        <f t="shared" si="17"/>
        <v>20600000</v>
      </c>
      <c r="W73" s="58">
        <f t="shared" si="17"/>
        <v>21218000</v>
      </c>
      <c r="X73" s="58">
        <f t="shared" si="17"/>
        <v>21854540</v>
      </c>
      <c r="Y73" s="34">
        <f>+U73+V73+W73+X73</f>
        <v>83672540</v>
      </c>
      <c r="Z73" s="1336"/>
      <c r="AA73" s="40"/>
      <c r="AB73" s="1434"/>
      <c r="AC73" s="38">
        <f t="shared" ref="AC73:AC141" si="27">+AA73/Y73</f>
        <v>0</v>
      </c>
      <c r="AD73" s="34">
        <f>Y73</f>
        <v>83672540</v>
      </c>
      <c r="AE73" s="1434"/>
      <c r="AF73" s="38">
        <f>+AD73/Y73</f>
        <v>1</v>
      </c>
      <c r="AG73" s="40"/>
      <c r="AH73" s="1336"/>
      <c r="AI73" s="38">
        <f t="shared" si="21"/>
        <v>0</v>
      </c>
      <c r="AJ73" s="40"/>
      <c r="AK73" s="1336"/>
      <c r="AL73" s="38">
        <f t="shared" si="22"/>
        <v>0</v>
      </c>
      <c r="AM73" s="40"/>
      <c r="AN73" s="1381"/>
      <c r="AO73" s="41">
        <f t="shared" si="23"/>
        <v>0</v>
      </c>
      <c r="AP73" s="990">
        <f>+AA73+AD73+AG73+AJ73+AM73</f>
        <v>83672540</v>
      </c>
      <c r="AQ73" s="18" t="str">
        <f t="shared" si="26"/>
        <v>Bien</v>
      </c>
      <c r="AR73" s="1147" t="s">
        <v>1183</v>
      </c>
    </row>
    <row r="74" spans="1:44" ht="38.25" x14ac:dyDescent="0.25">
      <c r="A74" s="2048"/>
      <c r="B74" s="1864"/>
      <c r="C74" s="2185"/>
      <c r="D74" s="2185"/>
      <c r="E74" s="1934"/>
      <c r="F74" s="1387"/>
      <c r="G74" s="1390"/>
      <c r="H74" s="1390"/>
      <c r="I74" s="1393"/>
      <c r="J74" s="1368"/>
      <c r="K74" s="201" t="s">
        <v>586</v>
      </c>
      <c r="L74" s="212" t="s">
        <v>578</v>
      </c>
      <c r="M74" s="212" t="s">
        <v>107</v>
      </c>
      <c r="N74" s="212">
        <v>4</v>
      </c>
      <c r="O74" s="59">
        <v>1</v>
      </c>
      <c r="P74" s="44">
        <v>1</v>
      </c>
      <c r="Q74" s="44">
        <v>1</v>
      </c>
      <c r="R74" s="44">
        <v>1</v>
      </c>
      <c r="S74" s="38"/>
      <c r="T74" s="45">
        <f t="shared" si="25"/>
        <v>4</v>
      </c>
      <c r="U74" s="55">
        <v>10000000</v>
      </c>
      <c r="V74" s="57">
        <f t="shared" si="17"/>
        <v>10300000</v>
      </c>
      <c r="W74" s="58">
        <f t="shared" si="17"/>
        <v>10609000</v>
      </c>
      <c r="X74" s="58">
        <f t="shared" si="17"/>
        <v>10927270</v>
      </c>
      <c r="Y74" s="34">
        <f>+U74+V74+W74+X74</f>
        <v>41836270</v>
      </c>
      <c r="Z74" s="1336"/>
      <c r="AA74" s="40"/>
      <c r="AB74" s="1434"/>
      <c r="AC74" s="38"/>
      <c r="AD74" s="34">
        <f>Y74</f>
        <v>41836270</v>
      </c>
      <c r="AE74" s="1434"/>
      <c r="AF74" s="38">
        <f>+AD74/Y74</f>
        <v>1</v>
      </c>
      <c r="AG74" s="40"/>
      <c r="AH74" s="1336"/>
      <c r="AI74" s="38"/>
      <c r="AJ74" s="40"/>
      <c r="AK74" s="1336"/>
      <c r="AL74" s="38"/>
      <c r="AM74" s="40"/>
      <c r="AN74" s="1381"/>
      <c r="AO74" s="41"/>
      <c r="AP74" s="990">
        <f>+AA74+AD74+AG74+AJ74+AM74</f>
        <v>41836270</v>
      </c>
      <c r="AQ74" s="18" t="str">
        <f t="shared" si="26"/>
        <v>Bien</v>
      </c>
      <c r="AR74" s="1147" t="s">
        <v>1183</v>
      </c>
    </row>
    <row r="75" spans="1:44" ht="15" customHeight="1" x14ac:dyDescent="0.25">
      <c r="A75" s="2048"/>
      <c r="B75" s="1864"/>
      <c r="C75" s="2185"/>
      <c r="D75" s="2185"/>
      <c r="E75" s="1934"/>
      <c r="F75" s="1388"/>
      <c r="G75" s="1391"/>
      <c r="H75" s="1391"/>
      <c r="I75" s="1394"/>
      <c r="J75" s="1368"/>
      <c r="K75" s="1395" t="s">
        <v>1021</v>
      </c>
      <c r="L75" s="1368" t="s">
        <v>39</v>
      </c>
      <c r="M75" s="1368">
        <v>0</v>
      </c>
      <c r="N75" s="1360">
        <v>1</v>
      </c>
      <c r="O75" s="1342">
        <v>0.15</v>
      </c>
      <c r="P75" s="1344">
        <v>0.25</v>
      </c>
      <c r="Q75" s="1344">
        <v>0.3</v>
      </c>
      <c r="R75" s="1344">
        <v>0.3</v>
      </c>
      <c r="S75" s="38"/>
      <c r="T75" s="1458">
        <v>1</v>
      </c>
      <c r="U75" s="1364">
        <v>100000000</v>
      </c>
      <c r="V75" s="1361">
        <f>(U75*3%)+U75</f>
        <v>103000000</v>
      </c>
      <c r="W75" s="1320">
        <f>(V75*3%)+V75</f>
        <v>106090000</v>
      </c>
      <c r="X75" s="1320">
        <f>(W75*3%)+W75</f>
        <v>109272700</v>
      </c>
      <c r="Y75" s="34"/>
      <c r="Z75" s="1336"/>
      <c r="AA75" s="40"/>
      <c r="AB75" s="1434"/>
      <c r="AC75" s="38"/>
      <c r="AD75" s="34"/>
      <c r="AE75" s="1434"/>
      <c r="AF75" s="38"/>
      <c r="AG75" s="40"/>
      <c r="AH75" s="1336"/>
      <c r="AI75" s="38"/>
      <c r="AJ75" s="40"/>
      <c r="AK75" s="1336"/>
      <c r="AL75" s="38"/>
      <c r="AM75" s="40"/>
      <c r="AN75" s="1381"/>
      <c r="AO75" s="41"/>
      <c r="AP75" s="990"/>
      <c r="AQ75" s="18" t="str">
        <f t="shared" si="26"/>
        <v>Bien</v>
      </c>
      <c r="AR75" s="1147" t="s">
        <v>1183</v>
      </c>
    </row>
    <row r="76" spans="1:44" ht="55.5" customHeight="1" x14ac:dyDescent="0.25">
      <c r="A76" s="2048"/>
      <c r="B76" s="1864"/>
      <c r="C76" s="2185"/>
      <c r="D76" s="2185"/>
      <c r="E76" s="1934"/>
      <c r="F76" s="200" t="s">
        <v>1256</v>
      </c>
      <c r="G76" s="62" t="s">
        <v>111</v>
      </c>
      <c r="H76" s="62">
        <v>5.5</v>
      </c>
      <c r="I76" s="190">
        <v>5.5</v>
      </c>
      <c r="J76" s="1368"/>
      <c r="K76" s="1395"/>
      <c r="L76" s="1368"/>
      <c r="M76" s="1368"/>
      <c r="N76" s="1360">
        <v>1</v>
      </c>
      <c r="O76" s="1936"/>
      <c r="P76" s="1937"/>
      <c r="Q76" s="1937"/>
      <c r="R76" s="1937"/>
      <c r="S76" s="38"/>
      <c r="T76" s="2225"/>
      <c r="U76" s="1364"/>
      <c r="V76" s="1362"/>
      <c r="W76" s="1321"/>
      <c r="X76" s="1321"/>
      <c r="Y76" s="34">
        <f>+U75+V75+W75+X75</f>
        <v>418362700</v>
      </c>
      <c r="Z76" s="1336"/>
      <c r="AA76" s="40"/>
      <c r="AB76" s="1434"/>
      <c r="AC76" s="38">
        <f t="shared" si="27"/>
        <v>0</v>
      </c>
      <c r="AD76" s="34">
        <f>Y76</f>
        <v>418362700</v>
      </c>
      <c r="AE76" s="1434"/>
      <c r="AF76" s="38">
        <f>+AD76/Y76</f>
        <v>1</v>
      </c>
      <c r="AG76" s="40"/>
      <c r="AH76" s="1336"/>
      <c r="AI76" s="38">
        <f>+AG76/Y76</f>
        <v>0</v>
      </c>
      <c r="AJ76" s="40"/>
      <c r="AK76" s="1336"/>
      <c r="AL76" s="38">
        <f>+AJ76/Y76</f>
        <v>0</v>
      </c>
      <c r="AM76" s="40"/>
      <c r="AN76" s="1381"/>
      <c r="AO76" s="41">
        <f>+AM76/Y76</f>
        <v>0</v>
      </c>
      <c r="AP76" s="990">
        <f>+AA76+AD76+AG76+AJ76+AM76</f>
        <v>418362700</v>
      </c>
      <c r="AQ76" s="18" t="str">
        <f t="shared" si="26"/>
        <v>Bien</v>
      </c>
      <c r="AR76" s="1147" t="s">
        <v>1183</v>
      </c>
    </row>
    <row r="77" spans="1:44" ht="57" customHeight="1" x14ac:dyDescent="0.25">
      <c r="A77" s="2048"/>
      <c r="B77" s="1864"/>
      <c r="C77" s="2185"/>
      <c r="D77" s="2185"/>
      <c r="E77" s="1934"/>
      <c r="F77" s="335" t="s">
        <v>152</v>
      </c>
      <c r="G77" s="63" t="s">
        <v>111</v>
      </c>
      <c r="H77" s="56">
        <v>0</v>
      </c>
      <c r="I77" s="191">
        <v>0</v>
      </c>
      <c r="J77" s="1368"/>
      <c r="K77" s="1395"/>
      <c r="L77" s="1368"/>
      <c r="M77" s="1368"/>
      <c r="N77" s="1360"/>
      <c r="O77" s="1343"/>
      <c r="P77" s="1345"/>
      <c r="Q77" s="1345"/>
      <c r="R77" s="1345"/>
      <c r="S77" s="38"/>
      <c r="T77" s="1459"/>
      <c r="U77" s="1364"/>
      <c r="V77" s="1363"/>
      <c r="W77" s="1322"/>
      <c r="X77" s="1322"/>
      <c r="Y77" s="64"/>
      <c r="Z77" s="1336"/>
      <c r="AA77" s="65"/>
      <c r="AB77" s="1434"/>
      <c r="AC77" s="66"/>
      <c r="AD77" s="64"/>
      <c r="AE77" s="1434"/>
      <c r="AF77" s="67"/>
      <c r="AG77" s="65"/>
      <c r="AH77" s="1336"/>
      <c r="AI77" s="66"/>
      <c r="AJ77" s="65"/>
      <c r="AK77" s="1336"/>
      <c r="AL77" s="66"/>
      <c r="AM77" s="65"/>
      <c r="AN77" s="1381"/>
      <c r="AO77" s="68"/>
      <c r="AP77" s="991"/>
      <c r="AQ77" s="18" t="str">
        <f t="shared" si="26"/>
        <v>Bien</v>
      </c>
      <c r="AR77" s="1147" t="s">
        <v>1183</v>
      </c>
    </row>
    <row r="78" spans="1:44" ht="63.75" x14ac:dyDescent="0.25">
      <c r="A78" s="2048"/>
      <c r="B78" s="1864"/>
      <c r="C78" s="2185"/>
      <c r="D78" s="2185"/>
      <c r="E78" s="1934"/>
      <c r="F78" s="1305" t="s">
        <v>153</v>
      </c>
      <c r="G78" s="1306" t="s">
        <v>111</v>
      </c>
      <c r="H78" s="1306">
        <v>0</v>
      </c>
      <c r="I78" s="1410">
        <v>0</v>
      </c>
      <c r="J78" s="1368"/>
      <c r="K78" s="278" t="s">
        <v>833</v>
      </c>
      <c r="L78" s="329" t="s">
        <v>39</v>
      </c>
      <c r="M78" s="329">
        <v>0</v>
      </c>
      <c r="N78" s="329">
        <v>1</v>
      </c>
      <c r="O78" s="330">
        <v>0.25</v>
      </c>
      <c r="P78" s="330">
        <v>0.25</v>
      </c>
      <c r="Q78" s="330">
        <v>0.25</v>
      </c>
      <c r="R78" s="330">
        <v>0.25</v>
      </c>
      <c r="S78" s="38"/>
      <c r="T78" s="45">
        <f t="shared" si="25"/>
        <v>1</v>
      </c>
      <c r="U78" s="55">
        <v>20000000</v>
      </c>
      <c r="V78" s="57">
        <f t="shared" ref="V78:X86" si="28">(U78*3%)+U78</f>
        <v>20600000</v>
      </c>
      <c r="W78" s="58">
        <f t="shared" si="28"/>
        <v>21218000</v>
      </c>
      <c r="X78" s="58">
        <f t="shared" si="28"/>
        <v>21854540</v>
      </c>
      <c r="Y78" s="34">
        <f t="shared" ref="Y78:Y86" si="29">+U78+V78+W78+X78</f>
        <v>83672540</v>
      </c>
      <c r="Z78" s="1336"/>
      <c r="AA78" s="40"/>
      <c r="AB78" s="1434"/>
      <c r="AC78" s="38">
        <f t="shared" si="27"/>
        <v>0</v>
      </c>
      <c r="AD78" s="34">
        <f t="shared" ref="AD78:AD86" si="30">Y78</f>
        <v>83672540</v>
      </c>
      <c r="AE78" s="1434"/>
      <c r="AF78" s="38">
        <f t="shared" ref="AF78:AF86" si="31">+AD78/Y78</f>
        <v>1</v>
      </c>
      <c r="AG78" s="40"/>
      <c r="AH78" s="1336"/>
      <c r="AI78" s="38">
        <f t="shared" ref="AI78:AI86" si="32">+AG78/Y78</f>
        <v>0</v>
      </c>
      <c r="AJ78" s="40"/>
      <c r="AK78" s="1336"/>
      <c r="AL78" s="38">
        <f t="shared" ref="AL78:AL86" si="33">+AJ78/Y78</f>
        <v>0</v>
      </c>
      <c r="AM78" s="40"/>
      <c r="AN78" s="1381"/>
      <c r="AO78" s="41">
        <f t="shared" ref="AO78:AO86" si="34">+AM78/Y78</f>
        <v>0</v>
      </c>
      <c r="AP78" s="992">
        <f t="shared" ref="AP78:AP86" si="35">+AA78+AD78+AG78+AJ78+AM78</f>
        <v>83672540</v>
      </c>
      <c r="AQ78" s="18" t="str">
        <f t="shared" si="26"/>
        <v>Bien</v>
      </c>
      <c r="AR78" s="1147" t="s">
        <v>1183</v>
      </c>
    </row>
    <row r="79" spans="1:44" ht="63.75" customHeight="1" x14ac:dyDescent="0.25">
      <c r="A79" s="2048"/>
      <c r="B79" s="1864"/>
      <c r="C79" s="2185"/>
      <c r="D79" s="2185"/>
      <c r="E79" s="1934"/>
      <c r="F79" s="1300"/>
      <c r="G79" s="1323"/>
      <c r="H79" s="1302"/>
      <c r="I79" s="1309"/>
      <c r="J79" s="1368"/>
      <c r="K79" s="69" t="s">
        <v>834</v>
      </c>
      <c r="L79" s="329" t="s">
        <v>39</v>
      </c>
      <c r="M79" s="329">
        <v>0</v>
      </c>
      <c r="N79" s="329">
        <v>1</v>
      </c>
      <c r="O79" s="330">
        <v>0.25</v>
      </c>
      <c r="P79" s="330">
        <v>0.25</v>
      </c>
      <c r="Q79" s="330">
        <v>0.25</v>
      </c>
      <c r="R79" s="330">
        <v>0.25</v>
      </c>
      <c r="S79" s="38"/>
      <c r="T79" s="45">
        <f t="shared" si="25"/>
        <v>1</v>
      </c>
      <c r="U79" s="55">
        <v>20000000</v>
      </c>
      <c r="V79" s="57">
        <f t="shared" si="28"/>
        <v>20600000</v>
      </c>
      <c r="W79" s="58">
        <f t="shared" si="28"/>
        <v>21218000</v>
      </c>
      <c r="X79" s="58">
        <f t="shared" si="28"/>
        <v>21854540</v>
      </c>
      <c r="Y79" s="34">
        <f t="shared" si="29"/>
        <v>83672540</v>
      </c>
      <c r="Z79" s="1336"/>
      <c r="AA79" s="40"/>
      <c r="AB79" s="1434"/>
      <c r="AC79" s="38">
        <f t="shared" si="27"/>
        <v>0</v>
      </c>
      <c r="AD79" s="34">
        <f t="shared" si="30"/>
        <v>83672540</v>
      </c>
      <c r="AE79" s="1434"/>
      <c r="AF79" s="38">
        <f t="shared" si="31"/>
        <v>1</v>
      </c>
      <c r="AG79" s="40"/>
      <c r="AH79" s="1336"/>
      <c r="AI79" s="38">
        <f t="shared" si="32"/>
        <v>0</v>
      </c>
      <c r="AJ79" s="40"/>
      <c r="AK79" s="1336"/>
      <c r="AL79" s="38">
        <f t="shared" si="33"/>
        <v>0</v>
      </c>
      <c r="AM79" s="40"/>
      <c r="AN79" s="1381"/>
      <c r="AO79" s="41">
        <f t="shared" si="34"/>
        <v>0</v>
      </c>
      <c r="AP79" s="992">
        <f t="shared" si="35"/>
        <v>83672540</v>
      </c>
      <c r="AQ79" s="18" t="str">
        <f t="shared" si="26"/>
        <v>Bien</v>
      </c>
      <c r="AR79" s="1147" t="s">
        <v>1183</v>
      </c>
    </row>
    <row r="80" spans="1:44" ht="38.25" x14ac:dyDescent="0.25">
      <c r="A80" s="2048"/>
      <c r="B80" s="1864"/>
      <c r="C80" s="2185"/>
      <c r="D80" s="2185"/>
      <c r="E80" s="1934"/>
      <c r="F80" s="1112" t="s">
        <v>154</v>
      </c>
      <c r="G80" s="71" t="s">
        <v>111</v>
      </c>
      <c r="H80" s="71">
        <v>0</v>
      </c>
      <c r="I80" s="192">
        <v>0</v>
      </c>
      <c r="J80" s="1368"/>
      <c r="K80" s="69" t="s">
        <v>155</v>
      </c>
      <c r="L80" s="70" t="s">
        <v>39</v>
      </c>
      <c r="M80" s="70" t="s">
        <v>107</v>
      </c>
      <c r="N80" s="216">
        <v>1</v>
      </c>
      <c r="O80" s="73">
        <v>0.2</v>
      </c>
      <c r="P80" s="73">
        <v>0.2</v>
      </c>
      <c r="Q80" s="73">
        <v>0.3</v>
      </c>
      <c r="R80" s="73">
        <v>0.3</v>
      </c>
      <c r="S80" s="38"/>
      <c r="T80" s="39">
        <f t="shared" si="25"/>
        <v>1</v>
      </c>
      <c r="U80" s="55">
        <v>40000000</v>
      </c>
      <c r="V80" s="57">
        <f t="shared" si="28"/>
        <v>41200000</v>
      </c>
      <c r="W80" s="58">
        <f t="shared" si="28"/>
        <v>42436000</v>
      </c>
      <c r="X80" s="58">
        <f t="shared" si="28"/>
        <v>43709080</v>
      </c>
      <c r="Y80" s="34">
        <f t="shared" si="29"/>
        <v>167345080</v>
      </c>
      <c r="Z80" s="1336"/>
      <c r="AA80" s="40"/>
      <c r="AB80" s="1434"/>
      <c r="AC80" s="38">
        <f t="shared" si="27"/>
        <v>0</v>
      </c>
      <c r="AD80" s="34">
        <f t="shared" si="30"/>
        <v>167345080</v>
      </c>
      <c r="AE80" s="1434"/>
      <c r="AF80" s="38">
        <f t="shared" si="31"/>
        <v>1</v>
      </c>
      <c r="AG80" s="40"/>
      <c r="AH80" s="1336"/>
      <c r="AI80" s="38">
        <f t="shared" si="32"/>
        <v>0</v>
      </c>
      <c r="AJ80" s="40"/>
      <c r="AK80" s="1336"/>
      <c r="AL80" s="38">
        <f t="shared" si="33"/>
        <v>0</v>
      </c>
      <c r="AM80" s="40"/>
      <c r="AN80" s="1381"/>
      <c r="AO80" s="41">
        <f t="shared" si="34"/>
        <v>0</v>
      </c>
      <c r="AP80" s="993">
        <f t="shared" si="35"/>
        <v>167345080</v>
      </c>
      <c r="AQ80" s="18" t="str">
        <f t="shared" si="26"/>
        <v>Bien</v>
      </c>
      <c r="AR80" s="1147" t="s">
        <v>1183</v>
      </c>
    </row>
    <row r="81" spans="1:44" ht="51" x14ac:dyDescent="0.25">
      <c r="A81" s="2048"/>
      <c r="B81" s="1864"/>
      <c r="C81" s="2185"/>
      <c r="D81" s="2185"/>
      <c r="E81" s="1934"/>
      <c r="F81" s="1305" t="s">
        <v>156</v>
      </c>
      <c r="G81" s="1306" t="s">
        <v>157</v>
      </c>
      <c r="H81" s="1307">
        <v>0.95</v>
      </c>
      <c r="I81" s="1308">
        <v>0.95</v>
      </c>
      <c r="J81" s="1368"/>
      <c r="K81" s="69" t="s">
        <v>158</v>
      </c>
      <c r="L81" s="70" t="s">
        <v>39</v>
      </c>
      <c r="M81" s="70">
        <v>0</v>
      </c>
      <c r="N81" s="216">
        <v>1</v>
      </c>
      <c r="O81" s="73">
        <v>0.25</v>
      </c>
      <c r="P81" s="48">
        <v>0.25</v>
      </c>
      <c r="Q81" s="48">
        <v>0.25</v>
      </c>
      <c r="R81" s="48">
        <v>0.25</v>
      </c>
      <c r="S81" s="38"/>
      <c r="T81" s="39">
        <f t="shared" si="25"/>
        <v>1</v>
      </c>
      <c r="U81" s="55">
        <v>10000000</v>
      </c>
      <c r="V81" s="57">
        <f t="shared" si="28"/>
        <v>10300000</v>
      </c>
      <c r="W81" s="58">
        <f t="shared" si="28"/>
        <v>10609000</v>
      </c>
      <c r="X81" s="58">
        <f t="shared" si="28"/>
        <v>10927270</v>
      </c>
      <c r="Y81" s="34">
        <f t="shared" si="29"/>
        <v>41836270</v>
      </c>
      <c r="Z81" s="1336"/>
      <c r="AA81" s="40"/>
      <c r="AB81" s="1434"/>
      <c r="AC81" s="38">
        <f t="shared" si="27"/>
        <v>0</v>
      </c>
      <c r="AD81" s="34">
        <f t="shared" si="30"/>
        <v>41836270</v>
      </c>
      <c r="AE81" s="1434"/>
      <c r="AF81" s="38">
        <f t="shared" si="31"/>
        <v>1</v>
      </c>
      <c r="AG81" s="40"/>
      <c r="AH81" s="1336"/>
      <c r="AI81" s="38">
        <f t="shared" si="32"/>
        <v>0</v>
      </c>
      <c r="AJ81" s="40"/>
      <c r="AK81" s="1336"/>
      <c r="AL81" s="38">
        <f t="shared" si="33"/>
        <v>0</v>
      </c>
      <c r="AM81" s="40"/>
      <c r="AN81" s="1381"/>
      <c r="AO81" s="41">
        <f t="shared" si="34"/>
        <v>0</v>
      </c>
      <c r="AP81" s="994">
        <f t="shared" si="35"/>
        <v>41836270</v>
      </c>
      <c r="AQ81" s="18" t="str">
        <f t="shared" si="26"/>
        <v>Bien</v>
      </c>
      <c r="AR81" s="1147" t="s">
        <v>1183</v>
      </c>
    </row>
    <row r="82" spans="1:44" ht="38.25" x14ac:dyDescent="0.25">
      <c r="A82" s="2048"/>
      <c r="B82" s="1864"/>
      <c r="C82" s="2185"/>
      <c r="D82" s="2185"/>
      <c r="E82" s="1934"/>
      <c r="F82" s="1300"/>
      <c r="G82" s="1302"/>
      <c r="H82" s="1302"/>
      <c r="I82" s="1309"/>
      <c r="J82" s="1368"/>
      <c r="K82" s="69" t="s">
        <v>159</v>
      </c>
      <c r="L82" s="70" t="s">
        <v>160</v>
      </c>
      <c r="M82" s="70" t="s">
        <v>107</v>
      </c>
      <c r="N82" s="217">
        <v>16</v>
      </c>
      <c r="O82" s="59">
        <v>4</v>
      </c>
      <c r="P82" s="44">
        <v>4</v>
      </c>
      <c r="Q82" s="44">
        <v>4</v>
      </c>
      <c r="R82" s="44">
        <v>4</v>
      </c>
      <c r="S82" s="38"/>
      <c r="T82" s="45">
        <f t="shared" si="25"/>
        <v>16</v>
      </c>
      <c r="U82" s="55">
        <v>100000000</v>
      </c>
      <c r="V82" s="57">
        <f t="shared" si="28"/>
        <v>103000000</v>
      </c>
      <c r="W82" s="58">
        <f t="shared" si="28"/>
        <v>106090000</v>
      </c>
      <c r="X82" s="58">
        <f t="shared" si="28"/>
        <v>109272700</v>
      </c>
      <c r="Y82" s="34">
        <f t="shared" si="29"/>
        <v>418362700</v>
      </c>
      <c r="Z82" s="1336"/>
      <c r="AA82" s="40"/>
      <c r="AB82" s="1434"/>
      <c r="AC82" s="38">
        <f t="shared" si="27"/>
        <v>0</v>
      </c>
      <c r="AD82" s="34">
        <f t="shared" si="30"/>
        <v>418362700</v>
      </c>
      <c r="AE82" s="1434"/>
      <c r="AF82" s="38">
        <f t="shared" si="31"/>
        <v>1</v>
      </c>
      <c r="AG82" s="40"/>
      <c r="AH82" s="1336"/>
      <c r="AI82" s="38">
        <f t="shared" si="32"/>
        <v>0</v>
      </c>
      <c r="AJ82" s="40"/>
      <c r="AK82" s="1336"/>
      <c r="AL82" s="38">
        <f t="shared" si="33"/>
        <v>0</v>
      </c>
      <c r="AM82" s="40"/>
      <c r="AN82" s="1381"/>
      <c r="AO82" s="41">
        <f t="shared" si="34"/>
        <v>0</v>
      </c>
      <c r="AP82" s="994">
        <f t="shared" si="35"/>
        <v>418362700</v>
      </c>
      <c r="AQ82" s="18" t="str">
        <f t="shared" si="26"/>
        <v>Bien</v>
      </c>
      <c r="AR82" s="1147" t="s">
        <v>1183</v>
      </c>
    </row>
    <row r="83" spans="1:44" ht="38.25" x14ac:dyDescent="0.25">
      <c r="A83" s="2048"/>
      <c r="B83" s="1864"/>
      <c r="C83" s="2185"/>
      <c r="D83" s="2185"/>
      <c r="E83" s="1934"/>
      <c r="F83" s="864" t="s">
        <v>1257</v>
      </c>
      <c r="G83" s="43" t="s">
        <v>161</v>
      </c>
      <c r="H83" s="43">
        <v>0</v>
      </c>
      <c r="I83" s="76">
        <v>2</v>
      </c>
      <c r="J83" s="1346" t="s">
        <v>162</v>
      </c>
      <c r="K83" s="208" t="s">
        <v>163</v>
      </c>
      <c r="L83" s="207" t="s">
        <v>587</v>
      </c>
      <c r="M83" s="207" t="s">
        <v>107</v>
      </c>
      <c r="N83" s="207">
        <v>5</v>
      </c>
      <c r="O83" s="59">
        <v>1</v>
      </c>
      <c r="P83" s="44">
        <v>2</v>
      </c>
      <c r="Q83" s="44">
        <v>1</v>
      </c>
      <c r="R83" s="44">
        <v>1</v>
      </c>
      <c r="S83" s="38"/>
      <c r="T83" s="45">
        <f t="shared" si="25"/>
        <v>5</v>
      </c>
      <c r="U83" s="40">
        <v>15000000</v>
      </c>
      <c r="V83" s="74">
        <f t="shared" si="28"/>
        <v>15450000</v>
      </c>
      <c r="W83" s="74">
        <f t="shared" si="28"/>
        <v>15913500</v>
      </c>
      <c r="X83" s="74">
        <f t="shared" si="28"/>
        <v>16390905</v>
      </c>
      <c r="Y83" s="34">
        <f t="shared" si="29"/>
        <v>62754405</v>
      </c>
      <c r="Z83" s="1336"/>
      <c r="AA83" s="40"/>
      <c r="AB83" s="1434"/>
      <c r="AC83" s="38">
        <f t="shared" si="27"/>
        <v>0</v>
      </c>
      <c r="AD83" s="34">
        <f t="shared" si="30"/>
        <v>62754405</v>
      </c>
      <c r="AE83" s="1434"/>
      <c r="AF83" s="38">
        <f t="shared" si="31"/>
        <v>1</v>
      </c>
      <c r="AG83" s="40"/>
      <c r="AH83" s="1336"/>
      <c r="AI83" s="38">
        <f t="shared" si="32"/>
        <v>0</v>
      </c>
      <c r="AJ83" s="40"/>
      <c r="AK83" s="1336"/>
      <c r="AL83" s="38">
        <f t="shared" si="33"/>
        <v>0</v>
      </c>
      <c r="AM83" s="40"/>
      <c r="AN83" s="1381"/>
      <c r="AO83" s="41">
        <f t="shared" si="34"/>
        <v>0</v>
      </c>
      <c r="AP83" s="989">
        <f t="shared" si="35"/>
        <v>62754405</v>
      </c>
      <c r="AQ83" s="18" t="str">
        <f t="shared" si="26"/>
        <v>Bien</v>
      </c>
      <c r="AR83" s="1148" t="s">
        <v>1183</v>
      </c>
    </row>
    <row r="84" spans="1:44" ht="38.25" x14ac:dyDescent="0.25">
      <c r="A84" s="2048"/>
      <c r="B84" s="1864"/>
      <c r="C84" s="2185"/>
      <c r="D84" s="2185"/>
      <c r="E84" s="1934"/>
      <c r="F84" s="1305" t="s">
        <v>832</v>
      </c>
      <c r="G84" s="1305" t="s">
        <v>164</v>
      </c>
      <c r="H84" s="1306">
        <v>6</v>
      </c>
      <c r="I84" s="1410">
        <v>6</v>
      </c>
      <c r="J84" s="1347"/>
      <c r="K84" s="206" t="s">
        <v>588</v>
      </c>
      <c r="L84" s="202" t="s">
        <v>39</v>
      </c>
      <c r="M84" s="202" t="s">
        <v>107</v>
      </c>
      <c r="N84" s="203">
        <v>1</v>
      </c>
      <c r="O84" s="73">
        <v>0.25</v>
      </c>
      <c r="P84" s="48">
        <v>0.25</v>
      </c>
      <c r="Q84" s="48">
        <v>0.25</v>
      </c>
      <c r="R84" s="48">
        <v>0.25</v>
      </c>
      <c r="S84" s="38"/>
      <c r="T84" s="39">
        <f t="shared" si="25"/>
        <v>1</v>
      </c>
      <c r="U84" s="40">
        <v>21000000</v>
      </c>
      <c r="V84" s="74">
        <f t="shared" si="28"/>
        <v>21630000</v>
      </c>
      <c r="W84" s="74">
        <f t="shared" si="28"/>
        <v>22278900</v>
      </c>
      <c r="X84" s="74">
        <f t="shared" si="28"/>
        <v>22947267</v>
      </c>
      <c r="Y84" s="34">
        <f t="shared" si="29"/>
        <v>87856167</v>
      </c>
      <c r="Z84" s="1336"/>
      <c r="AA84" s="40"/>
      <c r="AB84" s="1434"/>
      <c r="AC84" s="38">
        <f t="shared" si="27"/>
        <v>0</v>
      </c>
      <c r="AD84" s="34">
        <f t="shared" si="30"/>
        <v>87856167</v>
      </c>
      <c r="AE84" s="1434"/>
      <c r="AF84" s="38">
        <f t="shared" si="31"/>
        <v>1</v>
      </c>
      <c r="AG84" s="40"/>
      <c r="AH84" s="1336"/>
      <c r="AI84" s="38">
        <f t="shared" si="32"/>
        <v>0</v>
      </c>
      <c r="AJ84" s="40"/>
      <c r="AK84" s="1336"/>
      <c r="AL84" s="38">
        <f t="shared" si="33"/>
        <v>0</v>
      </c>
      <c r="AM84" s="40"/>
      <c r="AN84" s="1381"/>
      <c r="AO84" s="41">
        <f t="shared" si="34"/>
        <v>0</v>
      </c>
      <c r="AP84" s="989">
        <f t="shared" si="35"/>
        <v>87856167</v>
      </c>
      <c r="AQ84" s="18" t="str">
        <f t="shared" si="26"/>
        <v>Bien</v>
      </c>
      <c r="AR84" s="1147" t="s">
        <v>1183</v>
      </c>
    </row>
    <row r="85" spans="1:44" ht="38.25" x14ac:dyDescent="0.25">
      <c r="A85" s="2048"/>
      <c r="B85" s="1864"/>
      <c r="C85" s="2185"/>
      <c r="D85" s="2185"/>
      <c r="E85" s="1934"/>
      <c r="F85" s="1300"/>
      <c r="G85" s="1419"/>
      <c r="H85" s="1302"/>
      <c r="I85" s="1309"/>
      <c r="J85" s="1347"/>
      <c r="K85" s="206" t="s">
        <v>165</v>
      </c>
      <c r="L85" s="202" t="s">
        <v>578</v>
      </c>
      <c r="M85" s="202" t="s">
        <v>107</v>
      </c>
      <c r="N85" s="202">
        <v>10</v>
      </c>
      <c r="O85" s="59">
        <v>1</v>
      </c>
      <c r="P85" s="44">
        <v>3</v>
      </c>
      <c r="Q85" s="44">
        <v>3</v>
      </c>
      <c r="R85" s="44">
        <v>3</v>
      </c>
      <c r="S85" s="38"/>
      <c r="T85" s="45">
        <f t="shared" si="25"/>
        <v>10</v>
      </c>
      <c r="U85" s="40">
        <v>4000000</v>
      </c>
      <c r="V85" s="74">
        <f t="shared" si="28"/>
        <v>4120000</v>
      </c>
      <c r="W85" s="74">
        <f>(V85*3%)+V85</f>
        <v>4243600</v>
      </c>
      <c r="X85" s="74">
        <f t="shared" si="28"/>
        <v>4370908</v>
      </c>
      <c r="Y85" s="34">
        <f t="shared" si="29"/>
        <v>16734508</v>
      </c>
      <c r="Z85" s="1336"/>
      <c r="AA85" s="40"/>
      <c r="AB85" s="1434"/>
      <c r="AC85" s="38">
        <f t="shared" si="27"/>
        <v>0</v>
      </c>
      <c r="AD85" s="34">
        <f t="shared" si="30"/>
        <v>16734508</v>
      </c>
      <c r="AE85" s="1434"/>
      <c r="AF85" s="38">
        <f t="shared" si="31"/>
        <v>1</v>
      </c>
      <c r="AG85" s="40"/>
      <c r="AH85" s="1336"/>
      <c r="AI85" s="38">
        <f t="shared" si="32"/>
        <v>0</v>
      </c>
      <c r="AJ85" s="40"/>
      <c r="AK85" s="1336"/>
      <c r="AL85" s="38">
        <f t="shared" si="33"/>
        <v>0</v>
      </c>
      <c r="AM85" s="40"/>
      <c r="AN85" s="1381"/>
      <c r="AO85" s="41">
        <f t="shared" si="34"/>
        <v>0</v>
      </c>
      <c r="AP85" s="989">
        <f t="shared" si="35"/>
        <v>16734508</v>
      </c>
      <c r="AQ85" s="18" t="str">
        <f t="shared" si="26"/>
        <v>Bien</v>
      </c>
      <c r="AR85" s="1148" t="s">
        <v>1183</v>
      </c>
    </row>
    <row r="86" spans="1:44" ht="47.25" customHeight="1" x14ac:dyDescent="0.25">
      <c r="A86" s="2048"/>
      <c r="B86" s="1864"/>
      <c r="C86" s="2185"/>
      <c r="D86" s="2185"/>
      <c r="E86" s="1934"/>
      <c r="F86" s="864" t="s">
        <v>166</v>
      </c>
      <c r="G86" s="43" t="s">
        <v>111</v>
      </c>
      <c r="H86" s="43">
        <v>0.56000000000000005</v>
      </c>
      <c r="I86" s="76">
        <v>0.56000000000000005</v>
      </c>
      <c r="J86" s="1346" t="s">
        <v>167</v>
      </c>
      <c r="K86" s="1346" t="s">
        <v>168</v>
      </c>
      <c r="L86" s="1368" t="s">
        <v>169</v>
      </c>
      <c r="M86" s="1368">
        <v>3</v>
      </c>
      <c r="N86" s="1368">
        <v>12</v>
      </c>
      <c r="O86" s="1416">
        <v>3</v>
      </c>
      <c r="P86" s="1411">
        <v>3</v>
      </c>
      <c r="Q86" s="1411">
        <v>3</v>
      </c>
      <c r="R86" s="1411">
        <v>3</v>
      </c>
      <c r="S86" s="38"/>
      <c r="T86" s="1413">
        <f t="shared" si="25"/>
        <v>12</v>
      </c>
      <c r="U86" s="1348">
        <v>8000000</v>
      </c>
      <c r="V86" s="1320">
        <f t="shared" si="28"/>
        <v>8240000</v>
      </c>
      <c r="W86" s="1320">
        <f t="shared" si="28"/>
        <v>8487200</v>
      </c>
      <c r="X86" s="1320">
        <f t="shared" si="28"/>
        <v>8741816</v>
      </c>
      <c r="Y86" s="1352">
        <f t="shared" si="29"/>
        <v>33469016</v>
      </c>
      <c r="Z86" s="1336"/>
      <c r="AA86" s="1348"/>
      <c r="AB86" s="1434"/>
      <c r="AC86" s="1350">
        <f t="shared" si="27"/>
        <v>0</v>
      </c>
      <c r="AD86" s="1352">
        <f t="shared" si="30"/>
        <v>33469016</v>
      </c>
      <c r="AE86" s="1434"/>
      <c r="AF86" s="1350">
        <f t="shared" si="31"/>
        <v>1</v>
      </c>
      <c r="AG86" s="1348"/>
      <c r="AH86" s="1336"/>
      <c r="AI86" s="1350">
        <f t="shared" si="32"/>
        <v>0</v>
      </c>
      <c r="AJ86" s="1348"/>
      <c r="AK86" s="1336"/>
      <c r="AL86" s="1350">
        <f t="shared" si="33"/>
        <v>0</v>
      </c>
      <c r="AM86" s="1348"/>
      <c r="AN86" s="1381"/>
      <c r="AO86" s="1374">
        <f t="shared" si="34"/>
        <v>0</v>
      </c>
      <c r="AP86" s="1430">
        <f t="shared" si="35"/>
        <v>33469016</v>
      </c>
      <c r="AQ86" s="18" t="str">
        <f t="shared" si="26"/>
        <v>Bien</v>
      </c>
      <c r="AR86" s="1147" t="s">
        <v>1183</v>
      </c>
    </row>
    <row r="87" spans="1:44" ht="48.75" customHeight="1" x14ac:dyDescent="0.25">
      <c r="A87" s="2048"/>
      <c r="B87" s="1864"/>
      <c r="C87" s="2185"/>
      <c r="D87" s="2185"/>
      <c r="E87" s="1934"/>
      <c r="F87" s="864" t="s">
        <v>170</v>
      </c>
      <c r="G87" s="43" t="s">
        <v>111</v>
      </c>
      <c r="H87" s="43">
        <v>0</v>
      </c>
      <c r="I87" s="76">
        <v>0</v>
      </c>
      <c r="J87" s="1347"/>
      <c r="K87" s="1347"/>
      <c r="L87" s="1415"/>
      <c r="M87" s="1415"/>
      <c r="N87" s="1415"/>
      <c r="O87" s="1417"/>
      <c r="P87" s="1412"/>
      <c r="Q87" s="1412"/>
      <c r="R87" s="1412"/>
      <c r="S87" s="38"/>
      <c r="T87" s="1414"/>
      <c r="U87" s="1349"/>
      <c r="V87" s="1349"/>
      <c r="W87" s="1349"/>
      <c r="X87" s="1349"/>
      <c r="Y87" s="1353"/>
      <c r="Z87" s="1336"/>
      <c r="AA87" s="1349"/>
      <c r="AB87" s="1434"/>
      <c r="AC87" s="1351"/>
      <c r="AD87" s="1353"/>
      <c r="AE87" s="1434"/>
      <c r="AF87" s="1351"/>
      <c r="AG87" s="1349"/>
      <c r="AH87" s="1336"/>
      <c r="AI87" s="1351"/>
      <c r="AJ87" s="1349"/>
      <c r="AK87" s="1336"/>
      <c r="AL87" s="1351"/>
      <c r="AM87" s="1349"/>
      <c r="AN87" s="1381"/>
      <c r="AO87" s="1376"/>
      <c r="AP87" s="1431"/>
      <c r="AQ87" s="18" t="str">
        <f t="shared" si="26"/>
        <v>Bien</v>
      </c>
      <c r="AR87" s="1147" t="s">
        <v>1183</v>
      </c>
    </row>
    <row r="88" spans="1:44" ht="66.75" customHeight="1" x14ac:dyDescent="0.25">
      <c r="A88" s="2048"/>
      <c r="B88" s="1864"/>
      <c r="C88" s="2185"/>
      <c r="D88" s="2185"/>
      <c r="E88" s="1934"/>
      <c r="F88" s="1100" t="s">
        <v>171</v>
      </c>
      <c r="G88" s="47" t="s">
        <v>172</v>
      </c>
      <c r="H88" s="47" t="s">
        <v>107</v>
      </c>
      <c r="I88" s="193">
        <v>0.2</v>
      </c>
      <c r="J88" s="1347"/>
      <c r="K88" s="200" t="s">
        <v>173</v>
      </c>
      <c r="L88" s="70" t="s">
        <v>590</v>
      </c>
      <c r="M88" s="70">
        <v>1000</v>
      </c>
      <c r="N88" s="70">
        <v>3000</v>
      </c>
      <c r="O88" s="59">
        <v>50</v>
      </c>
      <c r="P88" s="44">
        <v>650</v>
      </c>
      <c r="Q88" s="44">
        <v>800</v>
      </c>
      <c r="R88" s="44">
        <v>500</v>
      </c>
      <c r="S88" s="38"/>
      <c r="T88" s="77">
        <f>+SUM(O88:R88)</f>
        <v>2000</v>
      </c>
      <c r="U88" s="78">
        <v>22559000</v>
      </c>
      <c r="V88" s="79">
        <f t="shared" ref="V88:X90" si="36">(U88*3%)+U88</f>
        <v>23235770</v>
      </c>
      <c r="W88" s="79">
        <f t="shared" si="36"/>
        <v>23932843.100000001</v>
      </c>
      <c r="X88" s="79">
        <f t="shared" si="36"/>
        <v>24650828.393000003</v>
      </c>
      <c r="Y88" s="34">
        <f>+U88+V88+W88+X88</f>
        <v>94378441.493000001</v>
      </c>
      <c r="Z88" s="1336"/>
      <c r="AA88" s="40"/>
      <c r="AB88" s="1434"/>
      <c r="AC88" s="38"/>
      <c r="AD88" s="64">
        <f>Y88</f>
        <v>94378441.493000001</v>
      </c>
      <c r="AE88" s="1434"/>
      <c r="AF88" s="38">
        <f>+AD88/Y88</f>
        <v>1</v>
      </c>
      <c r="AG88" s="40"/>
      <c r="AH88" s="1336"/>
      <c r="AI88" s="38"/>
      <c r="AJ88" s="40"/>
      <c r="AK88" s="1336"/>
      <c r="AL88" s="38"/>
      <c r="AM88" s="40"/>
      <c r="AN88" s="1381"/>
      <c r="AO88" s="41"/>
      <c r="AP88" s="995">
        <f>+AA88+AD88+AG88+AJ88+AM88</f>
        <v>94378441.493000001</v>
      </c>
      <c r="AQ88" s="18" t="str">
        <f t="shared" si="26"/>
        <v>Bien</v>
      </c>
      <c r="AR88" s="1147" t="s">
        <v>1183</v>
      </c>
    </row>
    <row r="89" spans="1:44" ht="76.5" x14ac:dyDescent="0.25">
      <c r="A89" s="2048"/>
      <c r="B89" s="1864"/>
      <c r="C89" s="2185"/>
      <c r="D89" s="2185"/>
      <c r="E89" s="1934"/>
      <c r="F89" s="49"/>
      <c r="G89" s="47"/>
      <c r="H89" s="47"/>
      <c r="I89" s="193"/>
      <c r="J89" s="1347"/>
      <c r="K89" s="208" t="s">
        <v>589</v>
      </c>
      <c r="L89" s="210" t="s">
        <v>39</v>
      </c>
      <c r="M89" s="210">
        <v>0</v>
      </c>
      <c r="N89" s="211">
        <v>1</v>
      </c>
      <c r="O89" s="59">
        <v>1</v>
      </c>
      <c r="P89" s="44">
        <v>2</v>
      </c>
      <c r="Q89" s="44">
        <v>3</v>
      </c>
      <c r="R89" s="44">
        <v>2</v>
      </c>
      <c r="S89" s="38"/>
      <c r="T89" s="77">
        <f>+SUM(O89:R89)</f>
        <v>8</v>
      </c>
      <c r="U89" s="40">
        <v>10559400</v>
      </c>
      <c r="V89" s="79">
        <f t="shared" si="36"/>
        <v>10876182</v>
      </c>
      <c r="W89" s="79">
        <f t="shared" si="36"/>
        <v>11202467.460000001</v>
      </c>
      <c r="X89" s="79">
        <f t="shared" si="36"/>
        <v>11538541.483800001</v>
      </c>
      <c r="Y89" s="34">
        <f>+U89+V89+W89+X89</f>
        <v>44176590.943800002</v>
      </c>
      <c r="Z89" s="1336"/>
      <c r="AA89" s="40"/>
      <c r="AB89" s="1434"/>
      <c r="AC89" s="38">
        <f t="shared" si="27"/>
        <v>0</v>
      </c>
      <c r="AD89" s="34">
        <f>Y89</f>
        <v>44176590.943800002</v>
      </c>
      <c r="AE89" s="1434"/>
      <c r="AF89" s="38">
        <f>+AD89/Y89</f>
        <v>1</v>
      </c>
      <c r="AG89" s="40"/>
      <c r="AH89" s="1336"/>
      <c r="AI89" s="38">
        <f>+AG89/Y89</f>
        <v>0</v>
      </c>
      <c r="AJ89" s="40"/>
      <c r="AK89" s="1336"/>
      <c r="AL89" s="38">
        <f>+AJ89/Y89</f>
        <v>0</v>
      </c>
      <c r="AM89" s="40"/>
      <c r="AN89" s="1381"/>
      <c r="AO89" s="41">
        <f>+AM89/Y89</f>
        <v>0</v>
      </c>
      <c r="AP89" s="995">
        <f>+AA89+AD89+AG89+AJ89+AM89</f>
        <v>44176590.943800002</v>
      </c>
      <c r="AQ89" s="18" t="str">
        <f t="shared" si="26"/>
        <v>Bien</v>
      </c>
      <c r="AR89" s="1147" t="s">
        <v>1183</v>
      </c>
    </row>
    <row r="90" spans="1:44" ht="44.25" customHeight="1" x14ac:dyDescent="0.25">
      <c r="A90" s="2048"/>
      <c r="B90" s="1864"/>
      <c r="C90" s="2185"/>
      <c r="D90" s="2185"/>
      <c r="E90" s="1934"/>
      <c r="F90" s="864" t="s">
        <v>174</v>
      </c>
      <c r="G90" s="43" t="s">
        <v>111</v>
      </c>
      <c r="H90" s="43">
        <v>7.7</v>
      </c>
      <c r="I90" s="76">
        <v>7.7</v>
      </c>
      <c r="J90" s="1346" t="s">
        <v>175</v>
      </c>
      <c r="K90" s="1346" t="s">
        <v>176</v>
      </c>
      <c r="L90" s="1368" t="s">
        <v>39</v>
      </c>
      <c r="M90" s="1368" t="s">
        <v>107</v>
      </c>
      <c r="N90" s="1360">
        <v>1</v>
      </c>
      <c r="O90" s="1369">
        <v>0.25</v>
      </c>
      <c r="P90" s="1307">
        <v>0.25</v>
      </c>
      <c r="Q90" s="1307">
        <v>0.25</v>
      </c>
      <c r="R90" s="1307">
        <v>0.25</v>
      </c>
      <c r="S90" s="1306"/>
      <c r="T90" s="1307">
        <v>1</v>
      </c>
      <c r="U90" s="1426">
        <v>20000000</v>
      </c>
      <c r="V90" s="1426">
        <f t="shared" si="36"/>
        <v>20600000</v>
      </c>
      <c r="W90" s="1426">
        <f t="shared" si="36"/>
        <v>21218000</v>
      </c>
      <c r="X90" s="1428">
        <f t="shared" si="36"/>
        <v>21854540</v>
      </c>
      <c r="Y90" s="1352">
        <f>+U90+V90+W90+X90</f>
        <v>83672540</v>
      </c>
      <c r="Z90" s="1336"/>
      <c r="AA90" s="80"/>
      <c r="AB90" s="1434"/>
      <c r="AC90" s="47">
        <f t="shared" si="27"/>
        <v>0</v>
      </c>
      <c r="AD90" s="1352">
        <f>Y90</f>
        <v>83672540</v>
      </c>
      <c r="AE90" s="1434"/>
      <c r="AF90" s="47">
        <f>+AD90/Y90</f>
        <v>1</v>
      </c>
      <c r="AG90" s="80"/>
      <c r="AH90" s="1336"/>
      <c r="AI90" s="47">
        <f>+AG90/Y90</f>
        <v>0</v>
      </c>
      <c r="AJ90" s="80"/>
      <c r="AK90" s="1336"/>
      <c r="AL90" s="47">
        <f>+AJ90/Y90</f>
        <v>0</v>
      </c>
      <c r="AM90" s="80"/>
      <c r="AN90" s="1381"/>
      <c r="AO90" s="81">
        <f>+AM90/Y90</f>
        <v>0</v>
      </c>
      <c r="AP90" s="1420">
        <f>+AA90+AD90+AG90+AJ90+AM90</f>
        <v>83672540</v>
      </c>
      <c r="AQ90" s="18" t="str">
        <f t="shared" si="26"/>
        <v>Bien</v>
      </c>
      <c r="AR90" s="1148" t="s">
        <v>1183</v>
      </c>
    </row>
    <row r="91" spans="1:44" ht="25.5" x14ac:dyDescent="0.25">
      <c r="A91" s="2048"/>
      <c r="B91" s="1864"/>
      <c r="C91" s="2185"/>
      <c r="D91" s="2185"/>
      <c r="E91" s="1934"/>
      <c r="F91" s="864" t="s">
        <v>177</v>
      </c>
      <c r="G91" s="43" t="s">
        <v>111</v>
      </c>
      <c r="H91" s="43">
        <v>11.2</v>
      </c>
      <c r="I91" s="76">
        <v>11.2</v>
      </c>
      <c r="J91" s="1346"/>
      <c r="K91" s="1346"/>
      <c r="L91" s="1368"/>
      <c r="M91" s="1368"/>
      <c r="N91" s="1360"/>
      <c r="O91" s="1432"/>
      <c r="P91" s="1418"/>
      <c r="Q91" s="1418"/>
      <c r="R91" s="1418"/>
      <c r="S91" s="1323"/>
      <c r="T91" s="1418"/>
      <c r="U91" s="1427"/>
      <c r="V91" s="1427"/>
      <c r="W91" s="1427"/>
      <c r="X91" s="1429"/>
      <c r="Y91" s="1353"/>
      <c r="Z91" s="1336"/>
      <c r="AA91" s="82"/>
      <c r="AB91" s="1434"/>
      <c r="AC91" s="56"/>
      <c r="AD91" s="1353"/>
      <c r="AE91" s="1434"/>
      <c r="AF91" s="56"/>
      <c r="AG91" s="82"/>
      <c r="AH91" s="1336"/>
      <c r="AI91" s="56"/>
      <c r="AJ91" s="82"/>
      <c r="AK91" s="1336"/>
      <c r="AL91" s="56"/>
      <c r="AM91" s="82"/>
      <c r="AN91" s="1381"/>
      <c r="AO91" s="83"/>
      <c r="AP91" s="1421"/>
      <c r="AQ91" s="18" t="str">
        <f t="shared" si="26"/>
        <v>Bien</v>
      </c>
      <c r="AR91" s="1147" t="s">
        <v>1183</v>
      </c>
    </row>
    <row r="92" spans="1:44" ht="51" x14ac:dyDescent="0.25">
      <c r="A92" s="2048"/>
      <c r="B92" s="1864"/>
      <c r="C92" s="2185"/>
      <c r="D92" s="2185"/>
      <c r="E92" s="1934"/>
      <c r="F92" s="1100" t="s">
        <v>178</v>
      </c>
      <c r="G92" s="43" t="s">
        <v>179</v>
      </c>
      <c r="H92" s="43">
        <v>0</v>
      </c>
      <c r="I92" s="39">
        <v>0.25</v>
      </c>
      <c r="J92" s="1346"/>
      <c r="K92" s="208" t="s">
        <v>180</v>
      </c>
      <c r="L92" s="210" t="s">
        <v>591</v>
      </c>
      <c r="M92" s="210" t="s">
        <v>107</v>
      </c>
      <c r="N92" s="210">
        <v>1200</v>
      </c>
      <c r="O92" s="59">
        <v>300</v>
      </c>
      <c r="P92" s="44">
        <v>300</v>
      </c>
      <c r="Q92" s="44">
        <v>300</v>
      </c>
      <c r="R92" s="44">
        <v>300</v>
      </c>
      <c r="S92" s="38"/>
      <c r="T92" s="77">
        <f>+SUM(O92:R92)</f>
        <v>1200</v>
      </c>
      <c r="U92" s="55">
        <v>20000000</v>
      </c>
      <c r="V92" s="84">
        <f t="shared" ref="V92:X104" si="37">(U92*3%)+U92</f>
        <v>20600000</v>
      </c>
      <c r="W92" s="84">
        <f t="shared" si="37"/>
        <v>21218000</v>
      </c>
      <c r="X92" s="84">
        <f t="shared" si="37"/>
        <v>21854540</v>
      </c>
      <c r="Y92" s="34">
        <f t="shared" ref="Y92:Y142" si="38">+U92+V92+W92+X92</f>
        <v>83672540</v>
      </c>
      <c r="Z92" s="1336"/>
      <c r="AA92" s="40"/>
      <c r="AB92" s="1434"/>
      <c r="AC92" s="38">
        <f t="shared" si="27"/>
        <v>0</v>
      </c>
      <c r="AD92" s="40">
        <f t="shared" ref="AD92:AD105" si="39">Y92</f>
        <v>83672540</v>
      </c>
      <c r="AE92" s="1434"/>
      <c r="AF92" s="38">
        <f>+AD92/Y92</f>
        <v>1</v>
      </c>
      <c r="AG92" s="40"/>
      <c r="AH92" s="1336"/>
      <c r="AI92" s="38">
        <f>+AG92/Y92</f>
        <v>0</v>
      </c>
      <c r="AJ92" s="40"/>
      <c r="AK92" s="1336"/>
      <c r="AL92" s="38">
        <f>+AJ92/Y92</f>
        <v>0</v>
      </c>
      <c r="AM92" s="40"/>
      <c r="AN92" s="1381"/>
      <c r="AO92" s="41">
        <f>+AM92/Y92</f>
        <v>0</v>
      </c>
      <c r="AP92" s="996">
        <f t="shared" ref="AP92:AP156" si="40">+AA92+AD92+AG92+AJ92+AM92</f>
        <v>83672540</v>
      </c>
      <c r="AQ92" s="18" t="str">
        <f t="shared" si="26"/>
        <v>Bien</v>
      </c>
      <c r="AR92" s="1147" t="s">
        <v>1183</v>
      </c>
    </row>
    <row r="93" spans="1:44" ht="76.5" x14ac:dyDescent="0.25">
      <c r="A93" s="2048"/>
      <c r="B93" s="1864"/>
      <c r="C93" s="2185"/>
      <c r="D93" s="2185"/>
      <c r="E93" s="1934"/>
      <c r="F93" s="1101" t="s">
        <v>181</v>
      </c>
      <c r="G93" s="85" t="s">
        <v>26</v>
      </c>
      <c r="H93" s="61">
        <v>0</v>
      </c>
      <c r="I93" s="194">
        <v>0.25</v>
      </c>
      <c r="J93" s="1346"/>
      <c r="K93" s="206" t="s">
        <v>182</v>
      </c>
      <c r="L93" s="202" t="s">
        <v>592</v>
      </c>
      <c r="M93" s="202">
        <v>0</v>
      </c>
      <c r="N93" s="202">
        <v>6</v>
      </c>
      <c r="O93" s="59">
        <v>1</v>
      </c>
      <c r="P93" s="44">
        <v>2</v>
      </c>
      <c r="Q93" s="44">
        <v>2</v>
      </c>
      <c r="R93" s="44">
        <v>1</v>
      </c>
      <c r="S93" s="38"/>
      <c r="T93" s="77">
        <f>+SUM(O93:R93)</f>
        <v>6</v>
      </c>
      <c r="U93" s="55">
        <v>10000000</v>
      </c>
      <c r="V93" s="84">
        <f t="shared" si="37"/>
        <v>10300000</v>
      </c>
      <c r="W93" s="84">
        <f t="shared" si="37"/>
        <v>10609000</v>
      </c>
      <c r="X93" s="84">
        <f t="shared" si="37"/>
        <v>10927270</v>
      </c>
      <c r="Y93" s="34">
        <f t="shared" si="38"/>
        <v>41836270</v>
      </c>
      <c r="Z93" s="1336"/>
      <c r="AA93" s="40"/>
      <c r="AB93" s="1434"/>
      <c r="AC93" s="38"/>
      <c r="AD93" s="40">
        <f t="shared" si="39"/>
        <v>41836270</v>
      </c>
      <c r="AE93" s="1434"/>
      <c r="AF93" s="38"/>
      <c r="AG93" s="40"/>
      <c r="AH93" s="1336"/>
      <c r="AI93" s="38"/>
      <c r="AJ93" s="40"/>
      <c r="AK93" s="1336"/>
      <c r="AL93" s="38"/>
      <c r="AM93" s="40"/>
      <c r="AN93" s="1381"/>
      <c r="AO93" s="41"/>
      <c r="AP93" s="996">
        <f t="shared" si="40"/>
        <v>41836270</v>
      </c>
      <c r="AQ93" s="18" t="str">
        <f t="shared" si="26"/>
        <v>Bien</v>
      </c>
      <c r="AR93" s="1147" t="s">
        <v>1183</v>
      </c>
    </row>
    <row r="94" spans="1:44" ht="63.75" x14ac:dyDescent="0.25">
      <c r="A94" s="2048"/>
      <c r="B94" s="1864"/>
      <c r="C94" s="2185"/>
      <c r="D94" s="2185"/>
      <c r="E94" s="1934"/>
      <c r="F94" s="1101" t="s">
        <v>183</v>
      </c>
      <c r="G94" s="85" t="s">
        <v>26</v>
      </c>
      <c r="H94" s="43">
        <v>0</v>
      </c>
      <c r="I94" s="39">
        <v>0.5</v>
      </c>
      <c r="J94" s="1346"/>
      <c r="K94" s="208" t="s">
        <v>1067</v>
      </c>
      <c r="L94" s="212" t="s">
        <v>39</v>
      </c>
      <c r="M94" s="212">
        <v>0</v>
      </c>
      <c r="N94" s="213">
        <v>0.5</v>
      </c>
      <c r="O94" s="73">
        <v>0.1</v>
      </c>
      <c r="P94" s="48">
        <v>0.15</v>
      </c>
      <c r="Q94" s="48">
        <v>0.15</v>
      </c>
      <c r="R94" s="48">
        <v>0.1</v>
      </c>
      <c r="S94" s="86"/>
      <c r="T94" s="72">
        <f>+SUM(O94:R94)</f>
        <v>0.5</v>
      </c>
      <c r="U94" s="55">
        <v>10000000</v>
      </c>
      <c r="V94" s="84">
        <f t="shared" si="37"/>
        <v>10300000</v>
      </c>
      <c r="W94" s="84">
        <f t="shared" si="37"/>
        <v>10609000</v>
      </c>
      <c r="X94" s="84">
        <f t="shared" si="37"/>
        <v>10927270</v>
      </c>
      <c r="Y94" s="34">
        <f t="shared" si="38"/>
        <v>41836270</v>
      </c>
      <c r="Z94" s="1336"/>
      <c r="AA94" s="40"/>
      <c r="AB94" s="1434"/>
      <c r="AC94" s="38">
        <f t="shared" si="27"/>
        <v>0</v>
      </c>
      <c r="AD94" s="40">
        <f t="shared" si="39"/>
        <v>41836270</v>
      </c>
      <c r="AE94" s="1434"/>
      <c r="AF94" s="38">
        <f>+AD94/Y94</f>
        <v>1</v>
      </c>
      <c r="AG94" s="40"/>
      <c r="AH94" s="1336"/>
      <c r="AI94" s="38">
        <f>+AG94/Y94</f>
        <v>0</v>
      </c>
      <c r="AJ94" s="40"/>
      <c r="AK94" s="1336"/>
      <c r="AL94" s="38">
        <f>+AJ94/Y94</f>
        <v>0</v>
      </c>
      <c r="AM94" s="40"/>
      <c r="AN94" s="1381"/>
      <c r="AO94" s="41">
        <f>+AM94/Y94</f>
        <v>0</v>
      </c>
      <c r="AP94" s="996">
        <f t="shared" si="40"/>
        <v>41836270</v>
      </c>
      <c r="AQ94" s="18" t="str">
        <f t="shared" si="26"/>
        <v>Bien</v>
      </c>
      <c r="AR94" s="1147" t="s">
        <v>1183</v>
      </c>
    </row>
    <row r="95" spans="1:44" ht="51" x14ac:dyDescent="0.25">
      <c r="A95" s="2048"/>
      <c r="B95" s="1864"/>
      <c r="C95" s="2185"/>
      <c r="D95" s="2185"/>
      <c r="E95" s="1934"/>
      <c r="F95" s="1101" t="s">
        <v>184</v>
      </c>
      <c r="G95" s="85" t="s">
        <v>185</v>
      </c>
      <c r="H95" s="43" t="s">
        <v>107</v>
      </c>
      <c r="I95" s="39">
        <v>0.5</v>
      </c>
      <c r="J95" s="1346"/>
      <c r="K95" s="206" t="s">
        <v>186</v>
      </c>
      <c r="L95" s="202" t="s">
        <v>593</v>
      </c>
      <c r="M95" s="202">
        <v>0</v>
      </c>
      <c r="N95" s="202">
        <v>8</v>
      </c>
      <c r="O95" s="59">
        <v>1</v>
      </c>
      <c r="P95" s="44">
        <v>3</v>
      </c>
      <c r="Q95" s="44">
        <v>3</v>
      </c>
      <c r="R95" s="44">
        <v>1</v>
      </c>
      <c r="S95" s="38"/>
      <c r="T95" s="87">
        <f t="shared" ref="T95:T108" si="41">+SUM(O95:R95)</f>
        <v>8</v>
      </c>
      <c r="U95" s="55">
        <v>10000000</v>
      </c>
      <c r="V95" s="84">
        <f t="shared" si="37"/>
        <v>10300000</v>
      </c>
      <c r="W95" s="84">
        <f t="shared" si="37"/>
        <v>10609000</v>
      </c>
      <c r="X95" s="84">
        <f t="shared" si="37"/>
        <v>10927270</v>
      </c>
      <c r="Y95" s="34">
        <f t="shared" si="38"/>
        <v>41836270</v>
      </c>
      <c r="Z95" s="1336"/>
      <c r="AA95" s="40"/>
      <c r="AB95" s="1434"/>
      <c r="AC95" s="38">
        <f t="shared" si="27"/>
        <v>0</v>
      </c>
      <c r="AD95" s="40">
        <f t="shared" si="39"/>
        <v>41836270</v>
      </c>
      <c r="AE95" s="1434"/>
      <c r="AF95" s="38">
        <f>+AD95/Y95</f>
        <v>1</v>
      </c>
      <c r="AG95" s="40"/>
      <c r="AH95" s="1336"/>
      <c r="AI95" s="38">
        <f>+AG95/Y95</f>
        <v>0</v>
      </c>
      <c r="AJ95" s="40"/>
      <c r="AK95" s="1336"/>
      <c r="AL95" s="38">
        <f>+AJ95/Y95</f>
        <v>0</v>
      </c>
      <c r="AM95" s="40"/>
      <c r="AN95" s="1381"/>
      <c r="AO95" s="41">
        <f>+AM95/Y95</f>
        <v>0</v>
      </c>
      <c r="AP95" s="996">
        <f t="shared" si="40"/>
        <v>41836270</v>
      </c>
      <c r="AQ95" s="18" t="str">
        <f t="shared" si="26"/>
        <v>Bien</v>
      </c>
      <c r="AR95" s="1147" t="s">
        <v>1183</v>
      </c>
    </row>
    <row r="96" spans="1:44" ht="51" x14ac:dyDescent="0.25">
      <c r="A96" s="2048"/>
      <c r="B96" s="1864"/>
      <c r="C96" s="2185"/>
      <c r="D96" s="2185"/>
      <c r="E96" s="1934"/>
      <c r="F96" s="1101" t="s">
        <v>187</v>
      </c>
      <c r="G96" s="85" t="s">
        <v>26</v>
      </c>
      <c r="H96" s="43">
        <v>0</v>
      </c>
      <c r="I96" s="39">
        <v>0.4</v>
      </c>
      <c r="J96" s="1346"/>
      <c r="K96" s="208" t="s">
        <v>188</v>
      </c>
      <c r="L96" s="212" t="s">
        <v>39</v>
      </c>
      <c r="M96" s="212">
        <v>0</v>
      </c>
      <c r="N96" s="213">
        <v>0.4</v>
      </c>
      <c r="O96" s="73">
        <v>0.1</v>
      </c>
      <c r="P96" s="48">
        <v>0.1</v>
      </c>
      <c r="Q96" s="48">
        <v>0.1</v>
      </c>
      <c r="R96" s="48">
        <v>0.1</v>
      </c>
      <c r="S96" s="38"/>
      <c r="T96" s="39">
        <f t="shared" si="41"/>
        <v>0.4</v>
      </c>
      <c r="U96" s="55">
        <v>10000000</v>
      </c>
      <c r="V96" s="84">
        <f t="shared" si="37"/>
        <v>10300000</v>
      </c>
      <c r="W96" s="84">
        <f t="shared" si="37"/>
        <v>10609000</v>
      </c>
      <c r="X96" s="84">
        <f t="shared" si="37"/>
        <v>10927270</v>
      </c>
      <c r="Y96" s="34">
        <f t="shared" si="38"/>
        <v>41836270</v>
      </c>
      <c r="Z96" s="1336"/>
      <c r="AA96" s="40"/>
      <c r="AB96" s="1434"/>
      <c r="AC96" s="38">
        <f t="shared" si="27"/>
        <v>0</v>
      </c>
      <c r="AD96" s="40">
        <f t="shared" si="39"/>
        <v>41836270</v>
      </c>
      <c r="AE96" s="1434"/>
      <c r="AF96" s="38">
        <f>+AD96/Y96</f>
        <v>1</v>
      </c>
      <c r="AG96" s="40"/>
      <c r="AH96" s="1336"/>
      <c r="AI96" s="38">
        <f>+AG96/Y96</f>
        <v>0</v>
      </c>
      <c r="AJ96" s="40"/>
      <c r="AK96" s="1336"/>
      <c r="AL96" s="38">
        <f>+AJ96/Y96</f>
        <v>0</v>
      </c>
      <c r="AM96" s="40"/>
      <c r="AN96" s="1381"/>
      <c r="AO96" s="41">
        <f>+AM96/Y96</f>
        <v>0</v>
      </c>
      <c r="AP96" s="996">
        <f t="shared" si="40"/>
        <v>41836270</v>
      </c>
      <c r="AQ96" s="18" t="str">
        <f t="shared" si="26"/>
        <v>Bien</v>
      </c>
      <c r="AR96" s="1147" t="s">
        <v>1183</v>
      </c>
    </row>
    <row r="97" spans="1:44" ht="63.75" x14ac:dyDescent="0.25">
      <c r="A97" s="2048"/>
      <c r="B97" s="1864"/>
      <c r="C97" s="2185"/>
      <c r="D97" s="2185"/>
      <c r="E97" s="1934"/>
      <c r="F97" s="1422" t="s">
        <v>189</v>
      </c>
      <c r="G97" s="1306" t="s">
        <v>26</v>
      </c>
      <c r="H97" s="1306">
        <v>0</v>
      </c>
      <c r="I97" s="1308">
        <v>1</v>
      </c>
      <c r="J97" s="1368" t="s">
        <v>594</v>
      </c>
      <c r="K97" s="208" t="s">
        <v>190</v>
      </c>
      <c r="L97" s="207" t="s">
        <v>101</v>
      </c>
      <c r="M97" s="207">
        <v>0</v>
      </c>
      <c r="N97" s="209">
        <v>0.8</v>
      </c>
      <c r="O97" s="198">
        <v>0.8</v>
      </c>
      <c r="P97" s="88">
        <v>0.8</v>
      </c>
      <c r="Q97" s="88">
        <v>0.8</v>
      </c>
      <c r="R97" s="88">
        <v>0.8</v>
      </c>
      <c r="S97" s="38"/>
      <c r="T97" s="88">
        <v>0.8</v>
      </c>
      <c r="U97" s="55">
        <v>153559501</v>
      </c>
      <c r="V97" s="55">
        <f t="shared" si="37"/>
        <v>158166286.03</v>
      </c>
      <c r="W97" s="55">
        <f t="shared" si="37"/>
        <v>162911274.61090001</v>
      </c>
      <c r="X97" s="55">
        <f t="shared" si="37"/>
        <v>167798612.84922701</v>
      </c>
      <c r="Y97" s="55">
        <f t="shared" si="38"/>
        <v>642435674.49012709</v>
      </c>
      <c r="Z97" s="1336"/>
      <c r="AA97" s="40"/>
      <c r="AB97" s="1434"/>
      <c r="AC97" s="38">
        <f t="shared" si="27"/>
        <v>0</v>
      </c>
      <c r="AD97" s="40">
        <f t="shared" si="39"/>
        <v>642435674.49012709</v>
      </c>
      <c r="AE97" s="1434"/>
      <c r="AF97" s="38">
        <f>+AD97/Y97</f>
        <v>1</v>
      </c>
      <c r="AG97" s="40"/>
      <c r="AH97" s="1336"/>
      <c r="AI97" s="38">
        <f>+AG97/Y97</f>
        <v>0</v>
      </c>
      <c r="AJ97" s="40"/>
      <c r="AK97" s="1336"/>
      <c r="AL97" s="38">
        <f>+AJ97/Y97</f>
        <v>0</v>
      </c>
      <c r="AM97" s="40"/>
      <c r="AN97" s="1381"/>
      <c r="AO97" s="41">
        <f>+AM97/Y97</f>
        <v>0</v>
      </c>
      <c r="AP97" s="989">
        <f t="shared" si="40"/>
        <v>642435674.49012709</v>
      </c>
      <c r="AQ97" s="18" t="str">
        <f t="shared" si="26"/>
        <v>Bien</v>
      </c>
      <c r="AR97" s="1148" t="s">
        <v>1183</v>
      </c>
    </row>
    <row r="98" spans="1:44" ht="63.75" x14ac:dyDescent="0.25">
      <c r="A98" s="2048"/>
      <c r="B98" s="1864"/>
      <c r="C98" s="2185"/>
      <c r="D98" s="2185"/>
      <c r="E98" s="1934"/>
      <c r="F98" s="1422"/>
      <c r="G98" s="1332"/>
      <c r="H98" s="1332"/>
      <c r="I98" s="1425"/>
      <c r="J98" s="1368"/>
      <c r="K98" s="206" t="s">
        <v>595</v>
      </c>
      <c r="L98" s="202" t="s">
        <v>39</v>
      </c>
      <c r="M98" s="202">
        <v>0</v>
      </c>
      <c r="N98" s="203">
        <v>1</v>
      </c>
      <c r="O98" s="73">
        <v>0.1</v>
      </c>
      <c r="P98" s="48">
        <v>0.3</v>
      </c>
      <c r="Q98" s="48">
        <v>0.4</v>
      </c>
      <c r="R98" s="48">
        <v>0.2</v>
      </c>
      <c r="S98" s="38"/>
      <c r="T98" s="39">
        <f t="shared" si="41"/>
        <v>1</v>
      </c>
      <c r="U98" s="55">
        <v>60000000</v>
      </c>
      <c r="V98" s="55">
        <f t="shared" si="37"/>
        <v>61800000</v>
      </c>
      <c r="W98" s="55">
        <f t="shared" si="37"/>
        <v>63654000</v>
      </c>
      <c r="X98" s="55">
        <f t="shared" si="37"/>
        <v>65563620</v>
      </c>
      <c r="Y98" s="55">
        <f t="shared" si="38"/>
        <v>251017620</v>
      </c>
      <c r="Z98" s="1336"/>
      <c r="AA98" s="40"/>
      <c r="AB98" s="1434"/>
      <c r="AC98" s="38"/>
      <c r="AD98" s="40">
        <f t="shared" si="39"/>
        <v>251017620</v>
      </c>
      <c r="AE98" s="1434"/>
      <c r="AF98" s="38"/>
      <c r="AG98" s="40"/>
      <c r="AH98" s="1336"/>
      <c r="AI98" s="38"/>
      <c r="AJ98" s="40"/>
      <c r="AK98" s="1336"/>
      <c r="AL98" s="38"/>
      <c r="AM98" s="40"/>
      <c r="AN98" s="1381"/>
      <c r="AO98" s="41"/>
      <c r="AP98" s="989">
        <f t="shared" si="40"/>
        <v>251017620</v>
      </c>
      <c r="AQ98" s="18" t="str">
        <f t="shared" si="26"/>
        <v>Bien</v>
      </c>
      <c r="AR98" s="1147" t="s">
        <v>1183</v>
      </c>
    </row>
    <row r="99" spans="1:44" ht="25.5" x14ac:dyDescent="0.25">
      <c r="A99" s="2048"/>
      <c r="B99" s="1864"/>
      <c r="C99" s="2185"/>
      <c r="D99" s="2185"/>
      <c r="E99" s="1934"/>
      <c r="F99" s="1423"/>
      <c r="G99" s="1424"/>
      <c r="H99" s="1424"/>
      <c r="I99" s="1409"/>
      <c r="J99" s="1368"/>
      <c r="K99" s="206" t="s">
        <v>191</v>
      </c>
      <c r="L99" s="202" t="s">
        <v>101</v>
      </c>
      <c r="M99" s="203">
        <v>0.89</v>
      </c>
      <c r="N99" s="203">
        <v>0.9</v>
      </c>
      <c r="O99" s="199">
        <v>0.9</v>
      </c>
      <c r="P99" s="39">
        <v>0.9</v>
      </c>
      <c r="Q99" s="39">
        <v>0.9</v>
      </c>
      <c r="R99" s="39">
        <v>0.9</v>
      </c>
      <c r="S99" s="38"/>
      <c r="T99" s="39">
        <v>0.9</v>
      </c>
      <c r="U99" s="55">
        <v>300000000</v>
      </c>
      <c r="V99" s="55">
        <f t="shared" si="37"/>
        <v>309000000</v>
      </c>
      <c r="W99" s="55">
        <f t="shared" si="37"/>
        <v>318270000</v>
      </c>
      <c r="X99" s="55">
        <f t="shared" si="37"/>
        <v>327818100</v>
      </c>
      <c r="Y99" s="55">
        <f t="shared" si="38"/>
        <v>1255088100</v>
      </c>
      <c r="Z99" s="1336"/>
      <c r="AA99" s="40"/>
      <c r="AB99" s="1434"/>
      <c r="AC99" s="38">
        <f t="shared" si="27"/>
        <v>0</v>
      </c>
      <c r="AD99" s="40">
        <f t="shared" si="39"/>
        <v>1255088100</v>
      </c>
      <c r="AE99" s="1434"/>
      <c r="AF99" s="38">
        <f t="shared" ref="AF99:AF164" si="42">+AD99/Y99</f>
        <v>1</v>
      </c>
      <c r="AG99" s="40"/>
      <c r="AH99" s="1336"/>
      <c r="AI99" s="38">
        <f t="shared" ref="AI99:AI164" si="43">+AG99/Y99</f>
        <v>0</v>
      </c>
      <c r="AJ99" s="40"/>
      <c r="AK99" s="1336"/>
      <c r="AL99" s="38">
        <f t="shared" ref="AL99:AL164" si="44">+AJ99/Y99</f>
        <v>0</v>
      </c>
      <c r="AM99" s="40"/>
      <c r="AN99" s="1381"/>
      <c r="AO99" s="41">
        <f t="shared" ref="AO99:AO164" si="45">+AM99/Y99</f>
        <v>0</v>
      </c>
      <c r="AP99" s="989">
        <f t="shared" si="40"/>
        <v>1255088100</v>
      </c>
      <c r="AQ99" s="18" t="str">
        <f t="shared" si="26"/>
        <v>Bien</v>
      </c>
      <c r="AR99" s="1147" t="s">
        <v>1183</v>
      </c>
    </row>
    <row r="100" spans="1:44" ht="25.5" x14ac:dyDescent="0.25">
      <c r="A100" s="2048"/>
      <c r="B100" s="1864"/>
      <c r="C100" s="2185"/>
      <c r="D100" s="2185"/>
      <c r="E100" s="1934"/>
      <c r="F100" s="1423"/>
      <c r="G100" s="1424"/>
      <c r="H100" s="1424"/>
      <c r="I100" s="1409"/>
      <c r="J100" s="1368"/>
      <c r="K100" s="206" t="s">
        <v>192</v>
      </c>
      <c r="L100" s="202" t="s">
        <v>578</v>
      </c>
      <c r="M100" s="202">
        <v>1</v>
      </c>
      <c r="N100" s="202">
        <v>4</v>
      </c>
      <c r="O100" s="59">
        <v>1</v>
      </c>
      <c r="P100" s="44">
        <v>1</v>
      </c>
      <c r="Q100" s="44">
        <v>1</v>
      </c>
      <c r="R100" s="44">
        <v>1</v>
      </c>
      <c r="S100" s="38"/>
      <c r="T100" s="45">
        <f t="shared" si="41"/>
        <v>4</v>
      </c>
      <c r="U100" s="55">
        <v>32000000</v>
      </c>
      <c r="V100" s="55">
        <f t="shared" si="37"/>
        <v>32960000</v>
      </c>
      <c r="W100" s="55">
        <f t="shared" si="37"/>
        <v>33948800</v>
      </c>
      <c r="X100" s="55">
        <f t="shared" si="37"/>
        <v>34967264</v>
      </c>
      <c r="Y100" s="55">
        <f t="shared" si="38"/>
        <v>133876064</v>
      </c>
      <c r="Z100" s="1336"/>
      <c r="AA100" s="40"/>
      <c r="AB100" s="1434"/>
      <c r="AC100" s="38">
        <f t="shared" si="27"/>
        <v>0</v>
      </c>
      <c r="AD100" s="40">
        <f t="shared" si="39"/>
        <v>133876064</v>
      </c>
      <c r="AE100" s="1434"/>
      <c r="AF100" s="38">
        <f t="shared" si="42"/>
        <v>1</v>
      </c>
      <c r="AG100" s="40"/>
      <c r="AH100" s="1336"/>
      <c r="AI100" s="38">
        <f t="shared" si="43"/>
        <v>0</v>
      </c>
      <c r="AJ100" s="40"/>
      <c r="AK100" s="1336"/>
      <c r="AL100" s="38">
        <f t="shared" si="44"/>
        <v>0</v>
      </c>
      <c r="AM100" s="40"/>
      <c r="AN100" s="1381"/>
      <c r="AO100" s="41">
        <f t="shared" si="45"/>
        <v>0</v>
      </c>
      <c r="AP100" s="989">
        <f t="shared" si="40"/>
        <v>133876064</v>
      </c>
      <c r="AQ100" s="18" t="str">
        <f t="shared" si="26"/>
        <v>Bien</v>
      </c>
      <c r="AR100" s="1147" t="s">
        <v>1183</v>
      </c>
    </row>
    <row r="101" spans="1:44" ht="89.25" x14ac:dyDescent="0.25">
      <c r="A101" s="2048"/>
      <c r="B101" s="1864"/>
      <c r="C101" s="2185"/>
      <c r="D101" s="2185"/>
      <c r="E101" s="1934"/>
      <c r="F101" s="1423"/>
      <c r="G101" s="1424"/>
      <c r="H101" s="1424"/>
      <c r="I101" s="1409"/>
      <c r="J101" s="1368"/>
      <c r="K101" s="206" t="s">
        <v>596</v>
      </c>
      <c r="L101" s="202" t="s">
        <v>597</v>
      </c>
      <c r="M101" s="202" t="s">
        <v>107</v>
      </c>
      <c r="N101" s="203">
        <v>0.8</v>
      </c>
      <c r="O101" s="198">
        <v>0.1</v>
      </c>
      <c r="P101" s="88">
        <v>0.2</v>
      </c>
      <c r="Q101" s="88">
        <v>0.3</v>
      </c>
      <c r="R101" s="88">
        <v>0.2</v>
      </c>
      <c r="S101" s="38"/>
      <c r="T101" s="39">
        <f t="shared" si="41"/>
        <v>0.8</v>
      </c>
      <c r="U101" s="55">
        <v>60000000</v>
      </c>
      <c r="V101" s="55">
        <f t="shared" si="37"/>
        <v>61800000</v>
      </c>
      <c r="W101" s="55">
        <f t="shared" si="37"/>
        <v>63654000</v>
      </c>
      <c r="X101" s="55">
        <f t="shared" si="37"/>
        <v>65563620</v>
      </c>
      <c r="Y101" s="55">
        <f t="shared" si="38"/>
        <v>251017620</v>
      </c>
      <c r="Z101" s="1336"/>
      <c r="AA101" s="40"/>
      <c r="AB101" s="1434"/>
      <c r="AC101" s="38">
        <f t="shared" si="27"/>
        <v>0</v>
      </c>
      <c r="AD101" s="40">
        <f t="shared" si="39"/>
        <v>251017620</v>
      </c>
      <c r="AE101" s="1434"/>
      <c r="AF101" s="38">
        <f t="shared" si="42"/>
        <v>1</v>
      </c>
      <c r="AG101" s="40"/>
      <c r="AH101" s="1336"/>
      <c r="AI101" s="38">
        <f t="shared" si="43"/>
        <v>0</v>
      </c>
      <c r="AJ101" s="40"/>
      <c r="AK101" s="1336"/>
      <c r="AL101" s="38">
        <f t="shared" si="44"/>
        <v>0</v>
      </c>
      <c r="AM101" s="40"/>
      <c r="AN101" s="1381"/>
      <c r="AO101" s="41">
        <f t="shared" si="45"/>
        <v>0</v>
      </c>
      <c r="AP101" s="989">
        <f t="shared" si="40"/>
        <v>251017620</v>
      </c>
      <c r="AQ101" s="18" t="str">
        <f t="shared" si="26"/>
        <v>Bien</v>
      </c>
      <c r="AR101" s="1147" t="s">
        <v>1183</v>
      </c>
    </row>
    <row r="102" spans="1:44" ht="51" x14ac:dyDescent="0.25">
      <c r="A102" s="2048"/>
      <c r="B102" s="1864"/>
      <c r="C102" s="2185"/>
      <c r="D102" s="2185"/>
      <c r="E102" s="1934"/>
      <c r="F102" s="1423"/>
      <c r="G102" s="1424"/>
      <c r="H102" s="1424"/>
      <c r="I102" s="1409"/>
      <c r="J102" s="1368"/>
      <c r="K102" s="206" t="s">
        <v>194</v>
      </c>
      <c r="L102" s="202" t="s">
        <v>101</v>
      </c>
      <c r="M102" s="202" t="s">
        <v>107</v>
      </c>
      <c r="N102" s="203">
        <v>0.8</v>
      </c>
      <c r="O102" s="199">
        <v>0.8</v>
      </c>
      <c r="P102" s="39">
        <v>0.8</v>
      </c>
      <c r="Q102" s="39">
        <v>0.8</v>
      </c>
      <c r="R102" s="39">
        <v>0.8</v>
      </c>
      <c r="S102" s="38"/>
      <c r="T102" s="39">
        <v>0.8</v>
      </c>
      <c r="U102" s="55">
        <v>200000000</v>
      </c>
      <c r="V102" s="55">
        <f t="shared" si="37"/>
        <v>206000000</v>
      </c>
      <c r="W102" s="55">
        <f t="shared" si="37"/>
        <v>212180000</v>
      </c>
      <c r="X102" s="55">
        <f t="shared" si="37"/>
        <v>218545400</v>
      </c>
      <c r="Y102" s="55">
        <f t="shared" si="38"/>
        <v>836725400</v>
      </c>
      <c r="Z102" s="1336"/>
      <c r="AA102" s="40"/>
      <c r="AB102" s="1434"/>
      <c r="AC102" s="38">
        <f t="shared" si="27"/>
        <v>0</v>
      </c>
      <c r="AD102" s="40">
        <f t="shared" si="39"/>
        <v>836725400</v>
      </c>
      <c r="AE102" s="1434"/>
      <c r="AF102" s="38">
        <f t="shared" si="42"/>
        <v>1</v>
      </c>
      <c r="AG102" s="40"/>
      <c r="AH102" s="1336"/>
      <c r="AI102" s="38">
        <f t="shared" si="43"/>
        <v>0</v>
      </c>
      <c r="AJ102" s="40"/>
      <c r="AK102" s="1336"/>
      <c r="AL102" s="38">
        <f t="shared" si="44"/>
        <v>0</v>
      </c>
      <c r="AM102" s="40"/>
      <c r="AN102" s="1381"/>
      <c r="AO102" s="41">
        <f t="shared" si="45"/>
        <v>0</v>
      </c>
      <c r="AP102" s="989">
        <f t="shared" si="40"/>
        <v>836725400</v>
      </c>
      <c r="AQ102" s="18" t="str">
        <f t="shared" si="26"/>
        <v>Bien</v>
      </c>
      <c r="AR102" s="1147" t="s">
        <v>1183</v>
      </c>
    </row>
    <row r="103" spans="1:44" ht="76.5" x14ac:dyDescent="0.25">
      <c r="A103" s="2048"/>
      <c r="B103" s="1864"/>
      <c r="C103" s="2185"/>
      <c r="D103" s="2185"/>
      <c r="E103" s="1934"/>
      <c r="F103" s="1423"/>
      <c r="G103" s="1424"/>
      <c r="H103" s="1424"/>
      <c r="I103" s="1409"/>
      <c r="J103" s="1368"/>
      <c r="K103" s="206" t="s">
        <v>195</v>
      </c>
      <c r="L103" s="202" t="s">
        <v>101</v>
      </c>
      <c r="M103" s="202" t="s">
        <v>107</v>
      </c>
      <c r="N103" s="203">
        <v>0.8</v>
      </c>
      <c r="O103" s="199">
        <v>0.8</v>
      </c>
      <c r="P103" s="39">
        <v>0.8</v>
      </c>
      <c r="Q103" s="39">
        <v>0.8</v>
      </c>
      <c r="R103" s="39">
        <v>0.8</v>
      </c>
      <c r="S103" s="38"/>
      <c r="T103" s="39">
        <v>0.8</v>
      </c>
      <c r="U103" s="55">
        <v>326000000</v>
      </c>
      <c r="V103" s="55">
        <f t="shared" si="37"/>
        <v>335780000</v>
      </c>
      <c r="W103" s="55">
        <f t="shared" si="37"/>
        <v>345853400</v>
      </c>
      <c r="X103" s="55">
        <f t="shared" si="37"/>
        <v>356229002</v>
      </c>
      <c r="Y103" s="55">
        <f t="shared" si="38"/>
        <v>1363862402</v>
      </c>
      <c r="Z103" s="1336"/>
      <c r="AA103" s="40"/>
      <c r="AB103" s="1434"/>
      <c r="AC103" s="38">
        <f t="shared" si="27"/>
        <v>0</v>
      </c>
      <c r="AD103" s="40">
        <f t="shared" si="39"/>
        <v>1363862402</v>
      </c>
      <c r="AE103" s="1434"/>
      <c r="AF103" s="38">
        <f t="shared" si="42"/>
        <v>1</v>
      </c>
      <c r="AG103" s="40"/>
      <c r="AH103" s="1336"/>
      <c r="AI103" s="38">
        <f t="shared" si="43"/>
        <v>0</v>
      </c>
      <c r="AJ103" s="40"/>
      <c r="AK103" s="1336"/>
      <c r="AL103" s="38">
        <f t="shared" si="44"/>
        <v>0</v>
      </c>
      <c r="AM103" s="40"/>
      <c r="AN103" s="1381"/>
      <c r="AO103" s="41">
        <f t="shared" si="45"/>
        <v>0</v>
      </c>
      <c r="AP103" s="989">
        <f t="shared" si="40"/>
        <v>1363862402</v>
      </c>
      <c r="AQ103" s="18" t="str">
        <f t="shared" si="26"/>
        <v>Bien</v>
      </c>
      <c r="AR103" s="1147" t="s">
        <v>1183</v>
      </c>
    </row>
    <row r="104" spans="1:44" ht="36.75" customHeight="1" x14ac:dyDescent="0.25">
      <c r="A104" s="2048"/>
      <c r="B104" s="1864"/>
      <c r="C104" s="2185"/>
      <c r="D104" s="2185"/>
      <c r="E104" s="1934"/>
      <c r="F104" s="1423"/>
      <c r="G104" s="1424"/>
      <c r="H104" s="1424"/>
      <c r="I104" s="1409"/>
      <c r="J104" s="1368"/>
      <c r="K104" s="206" t="s">
        <v>196</v>
      </c>
      <c r="L104" s="202" t="s">
        <v>597</v>
      </c>
      <c r="M104" s="202" t="s">
        <v>107</v>
      </c>
      <c r="N104" s="203">
        <v>1</v>
      </c>
      <c r="O104" s="73">
        <v>0.25</v>
      </c>
      <c r="P104" s="48">
        <v>0.25</v>
      </c>
      <c r="Q104" s="48">
        <v>0.25</v>
      </c>
      <c r="R104" s="48">
        <v>0.25</v>
      </c>
      <c r="S104" s="38"/>
      <c r="T104" s="39">
        <f t="shared" si="41"/>
        <v>1</v>
      </c>
      <c r="U104" s="55">
        <v>59000000</v>
      </c>
      <c r="V104" s="55">
        <f t="shared" si="37"/>
        <v>60770000</v>
      </c>
      <c r="W104" s="55">
        <f t="shared" si="37"/>
        <v>62593100</v>
      </c>
      <c r="X104" s="55">
        <f t="shared" si="37"/>
        <v>64470893</v>
      </c>
      <c r="Y104" s="55">
        <f t="shared" si="38"/>
        <v>246833993</v>
      </c>
      <c r="Z104" s="1336"/>
      <c r="AA104" s="40"/>
      <c r="AB104" s="1434"/>
      <c r="AC104" s="38">
        <f t="shared" si="27"/>
        <v>0</v>
      </c>
      <c r="AD104" s="40">
        <f t="shared" si="39"/>
        <v>246833993</v>
      </c>
      <c r="AE104" s="1434"/>
      <c r="AF104" s="38">
        <f t="shared" si="42"/>
        <v>1</v>
      </c>
      <c r="AG104" s="40"/>
      <c r="AH104" s="1336"/>
      <c r="AI104" s="38">
        <f t="shared" si="43"/>
        <v>0</v>
      </c>
      <c r="AJ104" s="40"/>
      <c r="AK104" s="1336"/>
      <c r="AL104" s="38">
        <f t="shared" si="44"/>
        <v>0</v>
      </c>
      <c r="AM104" s="40"/>
      <c r="AN104" s="1381"/>
      <c r="AO104" s="41">
        <f t="shared" si="45"/>
        <v>0</v>
      </c>
      <c r="AP104" s="989">
        <f t="shared" si="40"/>
        <v>246833993</v>
      </c>
      <c r="AQ104" s="18" t="str">
        <f t="shared" si="26"/>
        <v>Bien</v>
      </c>
      <c r="AR104" s="1147" t="s">
        <v>1183</v>
      </c>
    </row>
    <row r="105" spans="1:44" ht="63" customHeight="1" x14ac:dyDescent="0.25">
      <c r="A105" s="2048"/>
      <c r="B105" s="1864"/>
      <c r="C105" s="2185"/>
      <c r="D105" s="2185"/>
      <c r="E105" s="1935"/>
      <c r="F105" s="1100" t="s">
        <v>197</v>
      </c>
      <c r="G105" s="47" t="s">
        <v>598</v>
      </c>
      <c r="H105" s="75" t="s">
        <v>107</v>
      </c>
      <c r="I105" s="188">
        <v>3500</v>
      </c>
      <c r="J105" s="1368"/>
      <c r="K105" s="206" t="s">
        <v>198</v>
      </c>
      <c r="L105" s="202" t="s">
        <v>598</v>
      </c>
      <c r="M105" s="202" t="s">
        <v>107</v>
      </c>
      <c r="N105" s="202">
        <v>6400</v>
      </c>
      <c r="O105" s="59">
        <v>1600</v>
      </c>
      <c r="P105" s="44">
        <v>1600</v>
      </c>
      <c r="Q105" s="44">
        <v>1600</v>
      </c>
      <c r="R105" s="44">
        <v>1600</v>
      </c>
      <c r="S105" s="38"/>
      <c r="T105" s="45">
        <f t="shared" si="41"/>
        <v>6400</v>
      </c>
      <c r="U105" s="55">
        <v>400000000</v>
      </c>
      <c r="V105" s="55">
        <f t="shared" ref="V105:X112" si="46">U105+(U105*0.03)</f>
        <v>412000000</v>
      </c>
      <c r="W105" s="55">
        <f t="shared" si="46"/>
        <v>424360000</v>
      </c>
      <c r="X105" s="55">
        <f t="shared" si="46"/>
        <v>437090800</v>
      </c>
      <c r="Y105" s="55">
        <f t="shared" si="38"/>
        <v>1673450800</v>
      </c>
      <c r="Z105" s="1337"/>
      <c r="AA105" s="40"/>
      <c r="AB105" s="1435"/>
      <c r="AC105" s="38">
        <f t="shared" si="27"/>
        <v>0</v>
      </c>
      <c r="AD105" s="40">
        <f t="shared" si="39"/>
        <v>1673450800</v>
      </c>
      <c r="AE105" s="1435"/>
      <c r="AF105" s="38">
        <f t="shared" si="42"/>
        <v>1</v>
      </c>
      <c r="AG105" s="40"/>
      <c r="AH105" s="1337"/>
      <c r="AI105" s="38">
        <f t="shared" si="43"/>
        <v>0</v>
      </c>
      <c r="AJ105" s="40"/>
      <c r="AK105" s="1337"/>
      <c r="AL105" s="38">
        <f t="shared" si="44"/>
        <v>0</v>
      </c>
      <c r="AM105" s="40"/>
      <c r="AN105" s="1382"/>
      <c r="AO105" s="41">
        <f t="shared" si="45"/>
        <v>0</v>
      </c>
      <c r="AP105" s="987">
        <f t="shared" si="40"/>
        <v>1673450800</v>
      </c>
      <c r="AQ105" s="18" t="str">
        <f t="shared" si="26"/>
        <v>Bien</v>
      </c>
      <c r="AR105" s="1147" t="s">
        <v>1183</v>
      </c>
    </row>
    <row r="106" spans="1:44" ht="38.25" x14ac:dyDescent="0.25">
      <c r="A106" s="2048"/>
      <c r="B106" s="1864"/>
      <c r="C106" s="2185">
        <v>1906</v>
      </c>
      <c r="D106" s="2185" t="s">
        <v>1083</v>
      </c>
      <c r="E106" s="1447" t="s">
        <v>199</v>
      </c>
      <c r="F106" s="1305" t="s">
        <v>200</v>
      </c>
      <c r="G106" s="1451" t="s">
        <v>201</v>
      </c>
      <c r="H106" s="1306">
        <v>0</v>
      </c>
      <c r="I106" s="1410">
        <v>28</v>
      </c>
      <c r="J106" s="1346" t="s">
        <v>202</v>
      </c>
      <c r="K106" s="208" t="s">
        <v>599</v>
      </c>
      <c r="L106" s="207" t="s">
        <v>597</v>
      </c>
      <c r="M106" s="209">
        <v>0</v>
      </c>
      <c r="N106" s="209">
        <v>1</v>
      </c>
      <c r="O106" s="196">
        <v>0.1</v>
      </c>
      <c r="P106" s="51">
        <v>0.3</v>
      </c>
      <c r="Q106" s="51">
        <v>0.3</v>
      </c>
      <c r="R106" s="51">
        <v>0.3</v>
      </c>
      <c r="S106" s="38"/>
      <c r="T106" s="39">
        <f t="shared" si="41"/>
        <v>1</v>
      </c>
      <c r="U106" s="55">
        <v>385000000</v>
      </c>
      <c r="V106" s="55">
        <f t="shared" si="46"/>
        <v>396550000</v>
      </c>
      <c r="W106" s="55">
        <f t="shared" si="46"/>
        <v>408446500</v>
      </c>
      <c r="X106" s="55">
        <f t="shared" si="46"/>
        <v>420699895</v>
      </c>
      <c r="Y106" s="55">
        <f t="shared" si="38"/>
        <v>1610696395</v>
      </c>
      <c r="Z106" s="1443">
        <f>+SUM(Y106:Y109)</f>
        <v>2300994850</v>
      </c>
      <c r="AA106" s="40"/>
      <c r="AB106" s="1444">
        <f>+SUM(AA106:AA109)</f>
        <v>0</v>
      </c>
      <c r="AC106" s="38">
        <f t="shared" si="27"/>
        <v>0</v>
      </c>
      <c r="AD106" s="40"/>
      <c r="AE106" s="1444">
        <f>+SUM(AD106:AD109)</f>
        <v>0</v>
      </c>
      <c r="AF106" s="38">
        <f t="shared" si="42"/>
        <v>0</v>
      </c>
      <c r="AG106" s="40"/>
      <c r="AH106" s="1443">
        <f>+SUM(AG106:AG109)</f>
        <v>0</v>
      </c>
      <c r="AI106" s="38">
        <f t="shared" si="43"/>
        <v>0</v>
      </c>
      <c r="AJ106" s="40"/>
      <c r="AK106" s="1443">
        <f>+SUM(AJ106:AJ109)</f>
        <v>0</v>
      </c>
      <c r="AL106" s="38">
        <f t="shared" si="44"/>
        <v>0</v>
      </c>
      <c r="AM106" s="40">
        <v>1610696395</v>
      </c>
      <c r="AN106" s="1436">
        <f>+SUM(AM106:AM109)</f>
        <v>2300994850</v>
      </c>
      <c r="AO106" s="41">
        <f t="shared" si="45"/>
        <v>1</v>
      </c>
      <c r="AP106" s="990">
        <f t="shared" si="40"/>
        <v>1610696395</v>
      </c>
      <c r="AQ106" s="18" t="str">
        <f t="shared" si="26"/>
        <v>Bien</v>
      </c>
      <c r="AR106" s="1148" t="s">
        <v>1183</v>
      </c>
    </row>
    <row r="107" spans="1:44" ht="38.25" x14ac:dyDescent="0.25">
      <c r="A107" s="2048"/>
      <c r="B107" s="1864"/>
      <c r="C107" s="2185"/>
      <c r="D107" s="2185"/>
      <c r="E107" s="1448"/>
      <c r="F107" s="1450"/>
      <c r="G107" s="1452"/>
      <c r="H107" s="1424"/>
      <c r="I107" s="1409"/>
      <c r="J107" s="1347"/>
      <c r="K107" s="206" t="s">
        <v>600</v>
      </c>
      <c r="L107" s="202" t="s">
        <v>597</v>
      </c>
      <c r="M107" s="203">
        <v>0</v>
      </c>
      <c r="N107" s="203">
        <v>0.5</v>
      </c>
      <c r="O107" s="196">
        <v>0.1</v>
      </c>
      <c r="P107" s="51">
        <v>0.1</v>
      </c>
      <c r="Q107" s="51">
        <v>0.2</v>
      </c>
      <c r="R107" s="51">
        <v>0.1</v>
      </c>
      <c r="S107" s="38"/>
      <c r="T107" s="39">
        <f t="shared" si="41"/>
        <v>0.5</v>
      </c>
      <c r="U107" s="55">
        <v>55000000</v>
      </c>
      <c r="V107" s="55">
        <f t="shared" si="46"/>
        <v>56650000</v>
      </c>
      <c r="W107" s="55">
        <f t="shared" si="46"/>
        <v>58349500</v>
      </c>
      <c r="X107" s="55">
        <f t="shared" si="46"/>
        <v>60099985</v>
      </c>
      <c r="Y107" s="55">
        <f t="shared" si="38"/>
        <v>230099485</v>
      </c>
      <c r="Z107" s="1440"/>
      <c r="AA107" s="40"/>
      <c r="AB107" s="1439"/>
      <c r="AC107" s="38">
        <f t="shared" si="27"/>
        <v>0</v>
      </c>
      <c r="AD107" s="40"/>
      <c r="AE107" s="1439"/>
      <c r="AF107" s="38">
        <f t="shared" si="42"/>
        <v>0</v>
      </c>
      <c r="AG107" s="40"/>
      <c r="AH107" s="1440"/>
      <c r="AI107" s="38">
        <f t="shared" si="43"/>
        <v>0</v>
      </c>
      <c r="AJ107" s="40"/>
      <c r="AK107" s="1440"/>
      <c r="AL107" s="38">
        <f t="shared" si="44"/>
        <v>0</v>
      </c>
      <c r="AM107" s="40">
        <v>230099485</v>
      </c>
      <c r="AN107" s="1437"/>
      <c r="AO107" s="41">
        <f t="shared" si="45"/>
        <v>1</v>
      </c>
      <c r="AP107" s="990">
        <f t="shared" si="40"/>
        <v>230099485</v>
      </c>
      <c r="AQ107" s="18" t="str">
        <f t="shared" si="26"/>
        <v>Bien</v>
      </c>
      <c r="AR107" s="1147" t="s">
        <v>1183</v>
      </c>
    </row>
    <row r="108" spans="1:44" ht="63.75" x14ac:dyDescent="0.25">
      <c r="A108" s="2048"/>
      <c r="B108" s="1864"/>
      <c r="C108" s="2185"/>
      <c r="D108" s="2185"/>
      <c r="E108" s="1448"/>
      <c r="F108" s="1300"/>
      <c r="G108" s="1453"/>
      <c r="H108" s="1302"/>
      <c r="I108" s="1309"/>
      <c r="J108" s="1347"/>
      <c r="K108" s="206" t="s">
        <v>807</v>
      </c>
      <c r="L108" s="202" t="s">
        <v>597</v>
      </c>
      <c r="M108" s="203">
        <v>0</v>
      </c>
      <c r="N108" s="203">
        <v>0.8</v>
      </c>
      <c r="O108" s="196">
        <v>0.1</v>
      </c>
      <c r="P108" s="51">
        <v>0.3</v>
      </c>
      <c r="Q108" s="51">
        <v>0.3</v>
      </c>
      <c r="R108" s="51">
        <v>0.1</v>
      </c>
      <c r="S108" s="38"/>
      <c r="T108" s="39">
        <f t="shared" si="41"/>
        <v>0.79999999999999993</v>
      </c>
      <c r="U108" s="55">
        <v>55000000</v>
      </c>
      <c r="V108" s="55">
        <f t="shared" si="46"/>
        <v>56650000</v>
      </c>
      <c r="W108" s="55">
        <f t="shared" si="46"/>
        <v>58349500</v>
      </c>
      <c r="X108" s="55">
        <f t="shared" si="46"/>
        <v>60099985</v>
      </c>
      <c r="Y108" s="55">
        <f t="shared" si="38"/>
        <v>230099485</v>
      </c>
      <c r="Z108" s="1440"/>
      <c r="AA108" s="40"/>
      <c r="AB108" s="1439"/>
      <c r="AC108" s="38">
        <f t="shared" si="27"/>
        <v>0</v>
      </c>
      <c r="AD108" s="40"/>
      <c r="AE108" s="1439"/>
      <c r="AF108" s="38">
        <f t="shared" si="42"/>
        <v>0</v>
      </c>
      <c r="AG108" s="40"/>
      <c r="AH108" s="1440"/>
      <c r="AI108" s="38">
        <f t="shared" si="43"/>
        <v>0</v>
      </c>
      <c r="AJ108" s="40"/>
      <c r="AK108" s="1440"/>
      <c r="AL108" s="38">
        <f t="shared" si="44"/>
        <v>0</v>
      </c>
      <c r="AM108" s="40">
        <v>230099485</v>
      </c>
      <c r="AN108" s="1437"/>
      <c r="AO108" s="41">
        <f t="shared" si="45"/>
        <v>1</v>
      </c>
      <c r="AP108" s="990">
        <f t="shared" si="40"/>
        <v>230099485</v>
      </c>
      <c r="AQ108" s="18" t="str">
        <f t="shared" si="26"/>
        <v>Bien</v>
      </c>
      <c r="AR108" s="1147" t="s">
        <v>1183</v>
      </c>
    </row>
    <row r="109" spans="1:44" ht="51" x14ac:dyDescent="0.25">
      <c r="A109" s="2048"/>
      <c r="B109" s="1864"/>
      <c r="C109" s="2185"/>
      <c r="D109" s="2185"/>
      <c r="E109" s="1449"/>
      <c r="F109" s="864" t="s">
        <v>1258</v>
      </c>
      <c r="G109" s="42" t="s">
        <v>203</v>
      </c>
      <c r="H109" s="43" t="s">
        <v>204</v>
      </c>
      <c r="I109" s="39">
        <v>1</v>
      </c>
      <c r="J109" s="1347"/>
      <c r="K109" s="206" t="s">
        <v>205</v>
      </c>
      <c r="L109" s="202" t="s">
        <v>39</v>
      </c>
      <c r="M109" s="974">
        <v>0</v>
      </c>
      <c r="N109" s="974">
        <v>1</v>
      </c>
      <c r="O109" s="331">
        <v>1</v>
      </c>
      <c r="P109" s="332">
        <v>1</v>
      </c>
      <c r="Q109" s="332">
        <v>1</v>
      </c>
      <c r="R109" s="332">
        <v>1</v>
      </c>
      <c r="S109" s="38"/>
      <c r="T109" s="39">
        <v>1</v>
      </c>
      <c r="U109" s="55">
        <v>55000000</v>
      </c>
      <c r="V109" s="55">
        <f t="shared" si="46"/>
        <v>56650000</v>
      </c>
      <c r="W109" s="55">
        <f t="shared" si="46"/>
        <v>58349500</v>
      </c>
      <c r="X109" s="55">
        <f t="shared" si="46"/>
        <v>60099985</v>
      </c>
      <c r="Y109" s="325">
        <f t="shared" si="38"/>
        <v>230099485</v>
      </c>
      <c r="Z109" s="1440"/>
      <c r="AA109" s="868"/>
      <c r="AB109" s="1445"/>
      <c r="AC109" s="38">
        <f t="shared" si="27"/>
        <v>0</v>
      </c>
      <c r="AD109" s="40"/>
      <c r="AE109" s="1445"/>
      <c r="AF109" s="38">
        <f t="shared" si="42"/>
        <v>0</v>
      </c>
      <c r="AG109" s="40"/>
      <c r="AH109" s="1446"/>
      <c r="AI109" s="38">
        <f t="shared" si="43"/>
        <v>0</v>
      </c>
      <c r="AJ109" s="868"/>
      <c r="AK109" s="1440"/>
      <c r="AL109" s="870">
        <f t="shared" si="44"/>
        <v>0</v>
      </c>
      <c r="AM109" s="868">
        <v>230099485</v>
      </c>
      <c r="AN109" s="1438"/>
      <c r="AO109" s="41">
        <f t="shared" si="45"/>
        <v>1</v>
      </c>
      <c r="AP109" s="990">
        <f t="shared" si="40"/>
        <v>230099485</v>
      </c>
      <c r="AQ109" s="18" t="str">
        <f t="shared" si="26"/>
        <v>Bien</v>
      </c>
      <c r="AR109" s="1147" t="s">
        <v>1183</v>
      </c>
    </row>
    <row r="110" spans="1:44" ht="114.75" x14ac:dyDescent="0.25">
      <c r="A110" s="2048"/>
      <c r="B110" s="1864"/>
      <c r="C110" s="2185">
        <v>1905</v>
      </c>
      <c r="D110" s="2185" t="s">
        <v>1082</v>
      </c>
      <c r="E110" s="1454" t="s">
        <v>1022</v>
      </c>
      <c r="F110" s="864" t="s">
        <v>1044</v>
      </c>
      <c r="G110" s="42" t="s">
        <v>39</v>
      </c>
      <c r="H110" s="50">
        <v>0</v>
      </c>
      <c r="I110" s="39">
        <v>1</v>
      </c>
      <c r="J110" s="200" t="s">
        <v>1046</v>
      </c>
      <c r="K110" s="214" t="s">
        <v>1259</v>
      </c>
      <c r="L110" s="202" t="s">
        <v>39</v>
      </c>
      <c r="M110" s="205">
        <v>0</v>
      </c>
      <c r="N110" s="205">
        <v>0.8</v>
      </c>
      <c r="O110" s="199">
        <v>0.8</v>
      </c>
      <c r="P110" s="39">
        <v>0.8</v>
      </c>
      <c r="Q110" s="39">
        <v>0.8</v>
      </c>
      <c r="R110" s="39">
        <v>0.8</v>
      </c>
      <c r="S110" s="38"/>
      <c r="T110" s="39">
        <v>0.8</v>
      </c>
      <c r="U110" s="40">
        <v>704339152</v>
      </c>
      <c r="V110" s="55">
        <f t="shared" si="46"/>
        <v>725469326.55999994</v>
      </c>
      <c r="W110" s="55">
        <f t="shared" si="46"/>
        <v>747233406.35679996</v>
      </c>
      <c r="X110" s="55">
        <f t="shared" si="46"/>
        <v>769650408.54750395</v>
      </c>
      <c r="Y110" s="52">
        <f t="shared" si="38"/>
        <v>2946692293.464304</v>
      </c>
      <c r="Z110" s="1460">
        <f>+SUM(Y110:Y112)</f>
        <v>4319542711.8549366</v>
      </c>
      <c r="AA110" s="32">
        <f t="shared" ref="AA110:AA111" si="47">Y110</f>
        <v>2946692293.464304</v>
      </c>
      <c r="AB110" s="2131">
        <f>+SUM(AA110:AA111)</f>
        <v>4235870171.8549371</v>
      </c>
      <c r="AC110" s="38">
        <f t="shared" si="27"/>
        <v>1</v>
      </c>
      <c r="AD110" s="40"/>
      <c r="AE110" s="1439"/>
      <c r="AF110" s="38">
        <f t="shared" si="42"/>
        <v>0</v>
      </c>
      <c r="AG110" s="40"/>
      <c r="AH110" s="1440"/>
      <c r="AI110" s="86">
        <f t="shared" si="43"/>
        <v>0</v>
      </c>
      <c r="AJ110" s="32"/>
      <c r="AK110" s="1441"/>
      <c r="AL110" s="871">
        <f t="shared" si="44"/>
        <v>0</v>
      </c>
      <c r="AM110" s="32"/>
      <c r="AN110" s="1442"/>
      <c r="AO110" s="41">
        <f t="shared" si="45"/>
        <v>0</v>
      </c>
      <c r="AP110" s="990">
        <f t="shared" si="40"/>
        <v>2946692293.464304</v>
      </c>
      <c r="AQ110" s="18" t="str">
        <f t="shared" si="26"/>
        <v>Bien</v>
      </c>
      <c r="AR110" s="1147" t="s">
        <v>1186</v>
      </c>
    </row>
    <row r="111" spans="1:44" ht="89.25" customHeight="1" x14ac:dyDescent="0.25">
      <c r="A111" s="2048"/>
      <c r="B111" s="1864"/>
      <c r="C111" s="2185"/>
      <c r="D111" s="2185"/>
      <c r="E111" s="1455"/>
      <c r="F111" s="1305" t="s">
        <v>1045</v>
      </c>
      <c r="G111" s="1306" t="s">
        <v>39</v>
      </c>
      <c r="H111" s="1307">
        <v>0</v>
      </c>
      <c r="I111" s="1458">
        <v>1</v>
      </c>
      <c r="J111" s="1386" t="s">
        <v>1047</v>
      </c>
      <c r="K111" s="215" t="s">
        <v>601</v>
      </c>
      <c r="L111" s="202" t="s">
        <v>39</v>
      </c>
      <c r="M111" s="203">
        <v>0</v>
      </c>
      <c r="N111" s="203">
        <v>0.8</v>
      </c>
      <c r="O111" s="983">
        <v>0.8</v>
      </c>
      <c r="P111" s="39">
        <v>0.8</v>
      </c>
      <c r="Q111" s="39">
        <v>0.8</v>
      </c>
      <c r="R111" s="39">
        <v>0.8</v>
      </c>
      <c r="S111" s="38"/>
      <c r="T111" s="39">
        <v>0.8</v>
      </c>
      <c r="U111" s="40">
        <v>308148379</v>
      </c>
      <c r="V111" s="55">
        <f t="shared" si="46"/>
        <v>317392830.37</v>
      </c>
      <c r="W111" s="55">
        <f t="shared" si="46"/>
        <v>326914615.28110003</v>
      </c>
      <c r="X111" s="55">
        <f t="shared" si="46"/>
        <v>336722053.73953301</v>
      </c>
      <c r="Y111" s="52">
        <f t="shared" si="38"/>
        <v>1289177878.3906331</v>
      </c>
      <c r="Z111" s="1461"/>
      <c r="AA111" s="32">
        <f t="shared" si="47"/>
        <v>1289177878.3906331</v>
      </c>
      <c r="AB111" s="2132"/>
      <c r="AC111" s="38">
        <f t="shared" si="27"/>
        <v>1</v>
      </c>
      <c r="AD111" s="40"/>
      <c r="AE111" s="1439"/>
      <c r="AF111" s="38">
        <f t="shared" si="42"/>
        <v>0</v>
      </c>
      <c r="AG111" s="40"/>
      <c r="AH111" s="1440"/>
      <c r="AI111" s="86">
        <f t="shared" si="43"/>
        <v>0</v>
      </c>
      <c r="AJ111" s="32"/>
      <c r="AK111" s="1441"/>
      <c r="AL111" s="871">
        <f t="shared" si="44"/>
        <v>0</v>
      </c>
      <c r="AM111" s="32"/>
      <c r="AN111" s="1442"/>
      <c r="AO111" s="41">
        <f t="shared" si="45"/>
        <v>0</v>
      </c>
      <c r="AP111" s="990">
        <f t="shared" si="40"/>
        <v>1289177878.3906331</v>
      </c>
      <c r="AQ111" s="18" t="str">
        <f t="shared" si="26"/>
        <v>Bien</v>
      </c>
      <c r="AR111" s="1147" t="s">
        <v>1187</v>
      </c>
    </row>
    <row r="112" spans="1:44" ht="102" x14ac:dyDescent="0.25">
      <c r="A112" s="2048"/>
      <c r="B112" s="1864"/>
      <c r="C112" s="2185"/>
      <c r="D112" s="2185"/>
      <c r="E112" s="1456"/>
      <c r="F112" s="1457"/>
      <c r="G112" s="1323"/>
      <c r="H112" s="1418"/>
      <c r="I112" s="1459"/>
      <c r="J112" s="1388"/>
      <c r="K112" s="215" t="s">
        <v>1048</v>
      </c>
      <c r="L112" s="202" t="s">
        <v>39</v>
      </c>
      <c r="M112" s="865">
        <v>0</v>
      </c>
      <c r="N112" s="865">
        <v>0.8</v>
      </c>
      <c r="O112" s="72">
        <v>0.1</v>
      </c>
      <c r="P112" s="331">
        <v>0.2</v>
      </c>
      <c r="Q112" s="332">
        <v>0.2</v>
      </c>
      <c r="R112" s="332">
        <v>0.3</v>
      </c>
      <c r="S112" s="38"/>
      <c r="T112" s="39"/>
      <c r="U112" s="40">
        <v>20000000</v>
      </c>
      <c r="V112" s="326">
        <f t="shared" si="46"/>
        <v>20600000</v>
      </c>
      <c r="W112" s="326">
        <f t="shared" si="46"/>
        <v>21218000</v>
      </c>
      <c r="X112" s="326">
        <f t="shared" si="46"/>
        <v>21854540</v>
      </c>
      <c r="Y112" s="52">
        <f t="shared" si="38"/>
        <v>83672540</v>
      </c>
      <c r="Z112" s="1462"/>
      <c r="AA112" s="32"/>
      <c r="AB112" s="2133"/>
      <c r="AC112" s="797"/>
      <c r="AD112" s="333"/>
      <c r="AE112" s="1057"/>
      <c r="AF112" s="797">
        <f t="shared" si="42"/>
        <v>0</v>
      </c>
      <c r="AG112" s="333"/>
      <c r="AH112" s="866"/>
      <c r="AI112" s="869">
        <f t="shared" si="43"/>
        <v>0</v>
      </c>
      <c r="AJ112" s="32"/>
      <c r="AK112" s="872"/>
      <c r="AL112" s="871">
        <f t="shared" si="44"/>
        <v>0</v>
      </c>
      <c r="AM112" s="32">
        <f>+Y112</f>
        <v>83672540</v>
      </c>
      <c r="AN112" s="867"/>
      <c r="AO112" s="798">
        <f t="shared" si="45"/>
        <v>1</v>
      </c>
      <c r="AP112" s="876">
        <f t="shared" si="40"/>
        <v>83672540</v>
      </c>
      <c r="AQ112" s="18" t="str">
        <f>+IF(Y112=AP112,"Bien","Error")</f>
        <v>Bien</v>
      </c>
      <c r="AR112" s="1147" t="s">
        <v>1187</v>
      </c>
    </row>
    <row r="113" spans="1:44" ht="24" customHeight="1" x14ac:dyDescent="0.25">
      <c r="A113" s="2048"/>
      <c r="B113" s="1864"/>
      <c r="C113" s="2185"/>
      <c r="D113" s="2185"/>
      <c r="E113" s="1305" t="s">
        <v>838</v>
      </c>
      <c r="F113" s="1305" t="s">
        <v>839</v>
      </c>
      <c r="G113" s="1305" t="s">
        <v>836</v>
      </c>
      <c r="H113" s="1307">
        <v>0.97</v>
      </c>
      <c r="I113" s="1458">
        <v>1</v>
      </c>
      <c r="J113" s="1386" t="s">
        <v>1129</v>
      </c>
      <c r="K113" s="322" t="s">
        <v>840</v>
      </c>
      <c r="L113" s="204" t="s">
        <v>203</v>
      </c>
      <c r="M113" s="334">
        <v>0</v>
      </c>
      <c r="N113" s="334">
        <v>1</v>
      </c>
      <c r="O113" s="72">
        <v>0.25</v>
      </c>
      <c r="P113" s="331">
        <v>0.25</v>
      </c>
      <c r="Q113" s="332">
        <v>0.25</v>
      </c>
      <c r="R113" s="332">
        <v>0.25</v>
      </c>
      <c r="S113" s="38"/>
      <c r="T113" s="39">
        <v>0.8</v>
      </c>
      <c r="U113" s="40">
        <v>8824660</v>
      </c>
      <c r="V113" s="55">
        <v>8389399.8000000119</v>
      </c>
      <c r="W113" s="55">
        <v>18241081.794</v>
      </c>
      <c r="X113" s="55">
        <v>18388314.247820001</v>
      </c>
      <c r="Y113" s="52">
        <f t="shared" si="38"/>
        <v>53843455.841820017</v>
      </c>
      <c r="Z113" s="2113">
        <f>+Y113+Y114</f>
        <v>1333843455.84182</v>
      </c>
      <c r="AA113" s="32">
        <f>+Y113</f>
        <v>53843455.841820017</v>
      </c>
      <c r="AB113" s="2114">
        <f>+SUM(AA113:AA114)</f>
        <v>1333843455.84182</v>
      </c>
      <c r="AC113" s="797"/>
      <c r="AD113" s="333"/>
      <c r="AE113" s="2223"/>
      <c r="AF113" s="797"/>
      <c r="AG113" s="333"/>
      <c r="AH113" s="1407"/>
      <c r="AI113" s="869"/>
      <c r="AJ113" s="32"/>
      <c r="AK113" s="1407"/>
      <c r="AL113" s="871"/>
      <c r="AM113" s="32"/>
      <c r="AN113" s="2171"/>
      <c r="AO113" s="798"/>
      <c r="AP113" s="990">
        <f t="shared" si="40"/>
        <v>53843455.841820017</v>
      </c>
      <c r="AQ113" s="18" t="str">
        <f t="shared" si="26"/>
        <v>Bien</v>
      </c>
      <c r="AR113" s="1147" t="s">
        <v>1188</v>
      </c>
    </row>
    <row r="114" spans="1:44" ht="64.5" thickBot="1" x14ac:dyDescent="0.3">
      <c r="A114" s="2048"/>
      <c r="B114" s="1865"/>
      <c r="C114" s="2185"/>
      <c r="D114" s="2185"/>
      <c r="E114" s="2135"/>
      <c r="F114" s="2135"/>
      <c r="G114" s="2135"/>
      <c r="H114" s="2136"/>
      <c r="I114" s="2137"/>
      <c r="J114" s="1388"/>
      <c r="K114" s="322" t="s">
        <v>837</v>
      </c>
      <c r="L114" s="204" t="s">
        <v>39</v>
      </c>
      <c r="M114" s="205">
        <v>0</v>
      </c>
      <c r="N114" s="205">
        <v>1</v>
      </c>
      <c r="O114" s="72">
        <v>0.25</v>
      </c>
      <c r="P114" s="331">
        <v>0.25</v>
      </c>
      <c r="Q114" s="332">
        <v>0.25</v>
      </c>
      <c r="R114" s="332">
        <v>0.25</v>
      </c>
      <c r="S114" s="29"/>
      <c r="T114" s="332"/>
      <c r="U114" s="333">
        <v>310000000</v>
      </c>
      <c r="V114" s="323">
        <v>320000000</v>
      </c>
      <c r="W114" s="323">
        <v>320000000</v>
      </c>
      <c r="X114" s="323">
        <v>330000000</v>
      </c>
      <c r="Y114" s="52">
        <f t="shared" si="38"/>
        <v>1280000000</v>
      </c>
      <c r="Z114" s="2113"/>
      <c r="AA114" s="32">
        <f>+Y114</f>
        <v>1280000000</v>
      </c>
      <c r="AB114" s="2114"/>
      <c r="AC114" s="797"/>
      <c r="AD114" s="333"/>
      <c r="AE114" s="2223"/>
      <c r="AF114" s="797"/>
      <c r="AG114" s="333"/>
      <c r="AH114" s="1407"/>
      <c r="AI114" s="869"/>
      <c r="AJ114" s="32"/>
      <c r="AK114" s="1407"/>
      <c r="AL114" s="871"/>
      <c r="AM114" s="32"/>
      <c r="AN114" s="2171"/>
      <c r="AO114" s="798"/>
      <c r="AP114" s="990">
        <f t="shared" si="40"/>
        <v>1280000000</v>
      </c>
      <c r="AQ114" s="18" t="str">
        <f t="shared" si="26"/>
        <v>Bien</v>
      </c>
      <c r="AR114" s="1159" t="s">
        <v>1188</v>
      </c>
    </row>
    <row r="115" spans="1:44" ht="40.5" customHeight="1" x14ac:dyDescent="0.25">
      <c r="A115" s="2048"/>
      <c r="B115" s="1915" t="s">
        <v>206</v>
      </c>
      <c r="C115" s="1771">
        <v>4301</v>
      </c>
      <c r="D115" s="1771" t="s">
        <v>1084</v>
      </c>
      <c r="E115" s="1482" t="s">
        <v>207</v>
      </c>
      <c r="F115" s="1486" t="s">
        <v>208</v>
      </c>
      <c r="G115" s="1490" t="s">
        <v>808</v>
      </c>
      <c r="H115" s="1494">
        <v>8200</v>
      </c>
      <c r="I115" s="1494">
        <f>+H115*1.2</f>
        <v>9840</v>
      </c>
      <c r="J115" s="1503" t="s">
        <v>602</v>
      </c>
      <c r="K115" s="220" t="s">
        <v>1130</v>
      </c>
      <c r="L115" s="221" t="s">
        <v>193</v>
      </c>
      <c r="M115" s="218">
        <v>0</v>
      </c>
      <c r="N115" s="218">
        <v>1</v>
      </c>
      <c r="O115" s="218">
        <v>0</v>
      </c>
      <c r="P115" s="90"/>
      <c r="Q115" s="89">
        <v>1</v>
      </c>
      <c r="R115" s="89"/>
      <c r="S115" s="91"/>
      <c r="T115" s="92">
        <f t="shared" ref="T115:T142" si="48">+SUM(O115:R115)</f>
        <v>1</v>
      </c>
      <c r="U115" s="93"/>
      <c r="V115" s="94"/>
      <c r="W115" s="93">
        <v>50000000</v>
      </c>
      <c r="X115" s="93"/>
      <c r="Y115" s="95">
        <f t="shared" si="38"/>
        <v>50000000</v>
      </c>
      <c r="Z115" s="1478">
        <f>+SUM(Y115:Y122)</f>
        <v>5175841836.0519409</v>
      </c>
      <c r="AA115" s="93">
        <v>50000000</v>
      </c>
      <c r="AB115" s="1480">
        <f>+SUM(AA115:AA122)</f>
        <v>1729999120.977</v>
      </c>
      <c r="AC115" s="96">
        <f t="shared" si="27"/>
        <v>1</v>
      </c>
      <c r="AD115" s="97"/>
      <c r="AE115" s="1480">
        <f>+SUM(AD115:AD122)</f>
        <v>3202278659</v>
      </c>
      <c r="AF115" s="96">
        <f t="shared" si="42"/>
        <v>0</v>
      </c>
      <c r="AG115" s="98"/>
      <c r="AH115" s="1478">
        <f>+SUM(AG115:AG122)</f>
        <v>0</v>
      </c>
      <c r="AI115" s="96">
        <f t="shared" si="43"/>
        <v>0</v>
      </c>
      <c r="AJ115" s="97"/>
      <c r="AK115" s="1478">
        <f>+SUM(AJ115:AJ122)</f>
        <v>143564056</v>
      </c>
      <c r="AL115" s="96">
        <f t="shared" si="44"/>
        <v>0</v>
      </c>
      <c r="AM115" s="98"/>
      <c r="AN115" s="1478">
        <f>+SUM(AM115:AM122)</f>
        <v>100000000</v>
      </c>
      <c r="AO115" s="96">
        <f t="shared" si="45"/>
        <v>0</v>
      </c>
      <c r="AP115" s="997">
        <f t="shared" si="40"/>
        <v>50000000</v>
      </c>
      <c r="AQ115" s="18" t="str">
        <f t="shared" ref="AQ115:AQ178" si="49">+IF(Y115=AP115,"Bien","Error")</f>
        <v>Bien</v>
      </c>
      <c r="AR115" s="1149" t="s">
        <v>1189</v>
      </c>
    </row>
    <row r="116" spans="1:44" ht="40.5" customHeight="1" x14ac:dyDescent="0.25">
      <c r="A116" s="2048"/>
      <c r="B116" s="1916"/>
      <c r="C116" s="1771"/>
      <c r="D116" s="1771"/>
      <c r="E116" s="1483"/>
      <c r="F116" s="1487"/>
      <c r="G116" s="1491"/>
      <c r="H116" s="1495"/>
      <c r="I116" s="1495"/>
      <c r="J116" s="1504"/>
      <c r="K116" s="220" t="s">
        <v>1041</v>
      </c>
      <c r="L116" s="221" t="s">
        <v>26</v>
      </c>
      <c r="M116" s="877">
        <v>0</v>
      </c>
      <c r="N116" s="877">
        <v>0.3</v>
      </c>
      <c r="O116" s="218"/>
      <c r="P116" s="90"/>
      <c r="Q116" s="89"/>
      <c r="R116" s="863">
        <v>0.3</v>
      </c>
      <c r="S116" s="91"/>
      <c r="T116" s="860"/>
      <c r="U116" s="861"/>
      <c r="V116" s="862"/>
      <c r="W116" s="861"/>
      <c r="X116" s="861">
        <v>100000000</v>
      </c>
      <c r="Y116" s="95">
        <f t="shared" si="38"/>
        <v>100000000</v>
      </c>
      <c r="Z116" s="1478"/>
      <c r="AA116" s="93"/>
      <c r="AB116" s="1480"/>
      <c r="AC116" s="96"/>
      <c r="AD116" s="97"/>
      <c r="AE116" s="1480"/>
      <c r="AF116" s="96"/>
      <c r="AG116" s="98"/>
      <c r="AH116" s="1478"/>
      <c r="AI116" s="96"/>
      <c r="AJ116" s="97"/>
      <c r="AK116" s="1478"/>
      <c r="AL116" s="96"/>
      <c r="AM116" s="98">
        <v>100000000</v>
      </c>
      <c r="AN116" s="1478"/>
      <c r="AO116" s="96"/>
      <c r="AP116" s="997">
        <f t="shared" si="40"/>
        <v>100000000</v>
      </c>
      <c r="AQ116" s="18" t="str">
        <f t="shared" si="49"/>
        <v>Bien</v>
      </c>
      <c r="AR116" s="1150" t="s">
        <v>1189</v>
      </c>
    </row>
    <row r="117" spans="1:44" ht="63.75" x14ac:dyDescent="0.25">
      <c r="A117" s="2048"/>
      <c r="B117" s="1509"/>
      <c r="C117" s="1771"/>
      <c r="D117" s="1771"/>
      <c r="E117" s="1484"/>
      <c r="F117" s="1488"/>
      <c r="G117" s="1492"/>
      <c r="H117" s="1496"/>
      <c r="I117" s="1496"/>
      <c r="J117" s="327" t="s">
        <v>209</v>
      </c>
      <c r="K117" s="222" t="s">
        <v>1061</v>
      </c>
      <c r="L117" s="223" t="s">
        <v>603</v>
      </c>
      <c r="M117" s="221">
        <v>12</v>
      </c>
      <c r="N117" s="221">
        <v>14</v>
      </c>
      <c r="O117" s="219">
        <v>8</v>
      </c>
      <c r="P117" s="99">
        <v>14</v>
      </c>
      <c r="Q117" s="99">
        <v>14</v>
      </c>
      <c r="R117" s="99">
        <v>14</v>
      </c>
      <c r="S117" s="100"/>
      <c r="T117" s="101">
        <f t="shared" si="48"/>
        <v>50</v>
      </c>
      <c r="U117" s="102">
        <v>430000000</v>
      </c>
      <c r="V117" s="102">
        <v>437900000</v>
      </c>
      <c r="W117" s="102">
        <v>446180000</v>
      </c>
      <c r="X117" s="102">
        <v>457739666</v>
      </c>
      <c r="Y117" s="95">
        <f t="shared" si="38"/>
        <v>1771819666</v>
      </c>
      <c r="Z117" s="1479"/>
      <c r="AA117" s="103"/>
      <c r="AB117" s="1481"/>
      <c r="AC117" s="104">
        <f t="shared" si="27"/>
        <v>0</v>
      </c>
      <c r="AD117" s="103">
        <v>1771819666</v>
      </c>
      <c r="AE117" s="1481"/>
      <c r="AF117" s="104">
        <f t="shared" si="42"/>
        <v>1</v>
      </c>
      <c r="AG117" s="106"/>
      <c r="AH117" s="1479"/>
      <c r="AI117" s="104">
        <f t="shared" si="43"/>
        <v>0</v>
      </c>
      <c r="AJ117" s="105"/>
      <c r="AK117" s="1479"/>
      <c r="AL117" s="104">
        <f t="shared" si="44"/>
        <v>0</v>
      </c>
      <c r="AM117" s="106"/>
      <c r="AN117" s="1479"/>
      <c r="AO117" s="104">
        <f t="shared" si="45"/>
        <v>0</v>
      </c>
      <c r="AP117" s="998">
        <f t="shared" si="40"/>
        <v>1771819666</v>
      </c>
      <c r="AQ117" s="18" t="str">
        <f t="shared" si="49"/>
        <v>Bien</v>
      </c>
      <c r="AR117" s="1150" t="s">
        <v>1189</v>
      </c>
    </row>
    <row r="118" spans="1:44" ht="52.5" customHeight="1" x14ac:dyDescent="0.25">
      <c r="A118" s="2048"/>
      <c r="B118" s="1509"/>
      <c r="C118" s="1123">
        <v>4302</v>
      </c>
      <c r="D118" s="1123" t="s">
        <v>1085</v>
      </c>
      <c r="E118" s="1484"/>
      <c r="F118" s="1488"/>
      <c r="G118" s="1492"/>
      <c r="H118" s="1496"/>
      <c r="I118" s="1496"/>
      <c r="J118" s="327" t="s">
        <v>210</v>
      </c>
      <c r="K118" s="222" t="s">
        <v>1131</v>
      </c>
      <c r="L118" s="221" t="s">
        <v>809</v>
      </c>
      <c r="M118" s="221">
        <v>256</v>
      </c>
      <c r="N118" s="221">
        <v>320</v>
      </c>
      <c r="O118" s="219">
        <v>280</v>
      </c>
      <c r="P118" s="99">
        <v>320</v>
      </c>
      <c r="Q118" s="99">
        <v>320</v>
      </c>
      <c r="R118" s="99">
        <v>320</v>
      </c>
      <c r="S118" s="100"/>
      <c r="T118" s="101">
        <f t="shared" si="48"/>
        <v>1240</v>
      </c>
      <c r="U118" s="107">
        <f>130821091+135000000</f>
        <v>265821091</v>
      </c>
      <c r="V118" s="108">
        <f>134745723.73+136000000</f>
        <v>270745723.73000002</v>
      </c>
      <c r="W118" s="108">
        <f>138788095.4419+136000100</f>
        <v>274788195.44190001</v>
      </c>
      <c r="X118" s="108">
        <f>142951738.305157+136871410</f>
        <v>279823148.30515701</v>
      </c>
      <c r="Y118" s="95">
        <f t="shared" si="38"/>
        <v>1091178158.477057</v>
      </c>
      <c r="Z118" s="1479"/>
      <c r="AA118" s="109">
        <v>543871510</v>
      </c>
      <c r="AB118" s="1481"/>
      <c r="AC118" s="104">
        <f t="shared" si="27"/>
        <v>0.49842594976339549</v>
      </c>
      <c r="AD118" s="110">
        <v>547306648</v>
      </c>
      <c r="AE118" s="1481"/>
      <c r="AF118" s="104">
        <f t="shared" si="42"/>
        <v>0.50157404979941012</v>
      </c>
      <c r="AG118" s="106"/>
      <c r="AH118" s="1479"/>
      <c r="AI118" s="104">
        <f t="shared" si="43"/>
        <v>0</v>
      </c>
      <c r="AJ118" s="105"/>
      <c r="AK118" s="1479"/>
      <c r="AL118" s="104">
        <f t="shared" si="44"/>
        <v>0</v>
      </c>
      <c r="AM118" s="106"/>
      <c r="AN118" s="1479"/>
      <c r="AO118" s="104">
        <f t="shared" si="45"/>
        <v>0</v>
      </c>
      <c r="AP118" s="998">
        <f t="shared" si="40"/>
        <v>1091178158</v>
      </c>
      <c r="AQ118" s="18" t="str">
        <f t="shared" si="49"/>
        <v>Error</v>
      </c>
      <c r="AR118" s="1150" t="s">
        <v>1189</v>
      </c>
    </row>
    <row r="119" spans="1:44" ht="43.5" customHeight="1" x14ac:dyDescent="0.25">
      <c r="A119" s="2048"/>
      <c r="B119" s="1509"/>
      <c r="C119" s="2185">
        <v>4301</v>
      </c>
      <c r="D119" s="2185" t="s">
        <v>1084</v>
      </c>
      <c r="E119" s="1484"/>
      <c r="F119" s="1488"/>
      <c r="G119" s="1492"/>
      <c r="H119" s="1496"/>
      <c r="I119" s="1496"/>
      <c r="J119" s="327" t="s">
        <v>212</v>
      </c>
      <c r="K119" s="222" t="s">
        <v>213</v>
      </c>
      <c r="L119" s="221" t="s">
        <v>604</v>
      </c>
      <c r="M119" s="221">
        <v>12</v>
      </c>
      <c r="N119" s="221">
        <v>20</v>
      </c>
      <c r="O119" s="219">
        <v>1</v>
      </c>
      <c r="P119" s="99">
        <v>3</v>
      </c>
      <c r="Q119" s="99">
        <v>8</v>
      </c>
      <c r="R119" s="99">
        <v>8</v>
      </c>
      <c r="S119" s="100"/>
      <c r="T119" s="101">
        <f t="shared" si="48"/>
        <v>20</v>
      </c>
      <c r="U119" s="111">
        <f>210002024+34315692</f>
        <v>244317716</v>
      </c>
      <c r="V119" s="112">
        <f>223779000+35345162.76</f>
        <v>259124162.75999999</v>
      </c>
      <c r="W119" s="112">
        <f>240000000+36405517.6428</f>
        <v>276405517.64279997</v>
      </c>
      <c r="X119" s="112">
        <f>250000000+37497683.172084</f>
        <v>287497683.17208397</v>
      </c>
      <c r="Y119" s="95">
        <f t="shared" si="38"/>
        <v>1067345079.5748839</v>
      </c>
      <c r="Z119" s="1479"/>
      <c r="AA119" s="109">
        <v>856435944</v>
      </c>
      <c r="AB119" s="1481"/>
      <c r="AC119" s="104">
        <f t="shared" si="27"/>
        <v>0.80239836243130702</v>
      </c>
      <c r="AD119" s="109">
        <v>67345080</v>
      </c>
      <c r="AE119" s="1481"/>
      <c r="AF119" s="104">
        <f t="shared" si="42"/>
        <v>6.3095882755015903E-2</v>
      </c>
      <c r="AG119" s="106"/>
      <c r="AH119" s="1479"/>
      <c r="AI119" s="104">
        <f t="shared" si="43"/>
        <v>0</v>
      </c>
      <c r="AJ119" s="109">
        <v>143564056</v>
      </c>
      <c r="AK119" s="1479"/>
      <c r="AL119" s="104">
        <f t="shared" si="44"/>
        <v>0.13450575521197003</v>
      </c>
      <c r="AM119" s="106"/>
      <c r="AN119" s="1479"/>
      <c r="AO119" s="104">
        <f t="shared" si="45"/>
        <v>0</v>
      </c>
      <c r="AP119" s="998">
        <f t="shared" si="40"/>
        <v>1067345080</v>
      </c>
      <c r="AQ119" s="18" t="str">
        <f t="shared" si="49"/>
        <v>Error</v>
      </c>
      <c r="AR119" s="1149" t="s">
        <v>1189</v>
      </c>
    </row>
    <row r="120" spans="1:44" ht="49.5" customHeight="1" x14ac:dyDescent="0.25">
      <c r="A120" s="2048"/>
      <c r="B120" s="1509"/>
      <c r="C120" s="2185"/>
      <c r="D120" s="2185"/>
      <c r="E120" s="1484"/>
      <c r="F120" s="1488"/>
      <c r="G120" s="1492"/>
      <c r="H120" s="1496"/>
      <c r="I120" s="1496"/>
      <c r="J120" s="327" t="s">
        <v>215</v>
      </c>
      <c r="K120" s="222" t="s">
        <v>714</v>
      </c>
      <c r="L120" s="221" t="s">
        <v>216</v>
      </c>
      <c r="M120" s="221">
        <v>3</v>
      </c>
      <c r="N120" s="221">
        <v>7</v>
      </c>
      <c r="O120" s="219">
        <v>1</v>
      </c>
      <c r="P120" s="99">
        <v>1</v>
      </c>
      <c r="Q120" s="99">
        <v>1</v>
      </c>
      <c r="R120" s="99">
        <v>1</v>
      </c>
      <c r="S120" s="100"/>
      <c r="T120" s="101">
        <f t="shared" si="48"/>
        <v>4</v>
      </c>
      <c r="U120" s="113">
        <v>16000000</v>
      </c>
      <c r="V120" s="113">
        <v>27000000</v>
      </c>
      <c r="W120" s="113">
        <v>28000000</v>
      </c>
      <c r="X120" s="113">
        <v>29000000</v>
      </c>
      <c r="Y120" s="95">
        <f t="shared" si="38"/>
        <v>100000000</v>
      </c>
      <c r="Z120" s="1479"/>
      <c r="AA120" s="103">
        <v>100000000</v>
      </c>
      <c r="AB120" s="1481"/>
      <c r="AC120" s="104">
        <f t="shared" si="27"/>
        <v>1</v>
      </c>
      <c r="AD120" s="105"/>
      <c r="AE120" s="1481"/>
      <c r="AF120" s="104">
        <f t="shared" si="42"/>
        <v>0</v>
      </c>
      <c r="AG120" s="106"/>
      <c r="AH120" s="1479"/>
      <c r="AI120" s="104">
        <f t="shared" si="43"/>
        <v>0</v>
      </c>
      <c r="AJ120" s="105"/>
      <c r="AK120" s="1479"/>
      <c r="AL120" s="104">
        <f t="shared" si="44"/>
        <v>0</v>
      </c>
      <c r="AM120" s="106"/>
      <c r="AN120" s="1479"/>
      <c r="AO120" s="104">
        <f t="shared" si="45"/>
        <v>0</v>
      </c>
      <c r="AP120" s="998">
        <f t="shared" si="40"/>
        <v>100000000</v>
      </c>
      <c r="AQ120" s="18" t="str">
        <f t="shared" si="49"/>
        <v>Bien</v>
      </c>
      <c r="AR120" s="1149" t="s">
        <v>1189</v>
      </c>
    </row>
    <row r="121" spans="1:44" ht="38.25" x14ac:dyDescent="0.25">
      <c r="A121" s="2048"/>
      <c r="B121" s="1509"/>
      <c r="C121" s="2185"/>
      <c r="D121" s="2185"/>
      <c r="E121" s="1484"/>
      <c r="F121" s="1488"/>
      <c r="G121" s="1492"/>
      <c r="H121" s="1496"/>
      <c r="I121" s="1496"/>
      <c r="J121" s="327" t="s">
        <v>217</v>
      </c>
      <c r="K121" s="220" t="s">
        <v>218</v>
      </c>
      <c r="L121" s="221" t="s">
        <v>605</v>
      </c>
      <c r="M121" s="221">
        <v>1</v>
      </c>
      <c r="N121" s="221">
        <v>11</v>
      </c>
      <c r="O121" s="219">
        <v>2</v>
      </c>
      <c r="P121" s="99">
        <v>3</v>
      </c>
      <c r="Q121" s="99">
        <v>3</v>
      </c>
      <c r="R121" s="99">
        <v>3</v>
      </c>
      <c r="S121" s="100"/>
      <c r="T121" s="101">
        <f t="shared" si="48"/>
        <v>11</v>
      </c>
      <c r="U121" s="113">
        <v>15000000</v>
      </c>
      <c r="V121" s="113">
        <v>16000000</v>
      </c>
      <c r="W121" s="113">
        <v>17704000</v>
      </c>
      <c r="X121" s="113">
        <v>22000000</v>
      </c>
      <c r="Y121" s="95">
        <f t="shared" si="38"/>
        <v>70704000</v>
      </c>
      <c r="Z121" s="1479"/>
      <c r="AA121" s="103">
        <v>70704000</v>
      </c>
      <c r="AB121" s="1481"/>
      <c r="AC121" s="104">
        <f t="shared" si="27"/>
        <v>1</v>
      </c>
      <c r="AD121" s="105"/>
      <c r="AE121" s="1481"/>
      <c r="AF121" s="104">
        <f t="shared" si="42"/>
        <v>0</v>
      </c>
      <c r="AG121" s="106"/>
      <c r="AH121" s="1479"/>
      <c r="AI121" s="104">
        <f t="shared" si="43"/>
        <v>0</v>
      </c>
      <c r="AJ121" s="105"/>
      <c r="AK121" s="1479"/>
      <c r="AL121" s="104">
        <f t="shared" si="44"/>
        <v>0</v>
      </c>
      <c r="AM121" s="106"/>
      <c r="AN121" s="1479"/>
      <c r="AO121" s="104">
        <f t="shared" si="45"/>
        <v>0</v>
      </c>
      <c r="AP121" s="998">
        <f t="shared" si="40"/>
        <v>70704000</v>
      </c>
      <c r="AQ121" s="18" t="str">
        <f t="shared" si="49"/>
        <v>Bien</v>
      </c>
      <c r="AR121" s="1149" t="s">
        <v>1189</v>
      </c>
    </row>
    <row r="122" spans="1:44" ht="73.5" customHeight="1" x14ac:dyDescent="0.25">
      <c r="A122" s="2048"/>
      <c r="B122" s="1509"/>
      <c r="C122" s="2185"/>
      <c r="D122" s="2185"/>
      <c r="E122" s="1485"/>
      <c r="F122" s="1489"/>
      <c r="G122" s="1493"/>
      <c r="H122" s="1497"/>
      <c r="I122" s="1497"/>
      <c r="J122" s="328" t="s">
        <v>219</v>
      </c>
      <c r="K122" s="220" t="s">
        <v>810</v>
      </c>
      <c r="L122" s="223" t="s">
        <v>811</v>
      </c>
      <c r="M122" s="221">
        <v>20</v>
      </c>
      <c r="N122" s="221">
        <v>43</v>
      </c>
      <c r="O122" s="219">
        <v>2</v>
      </c>
      <c r="P122" s="99">
        <v>8</v>
      </c>
      <c r="Q122" s="99">
        <v>15</v>
      </c>
      <c r="R122" s="99">
        <v>18</v>
      </c>
      <c r="S122" s="100"/>
      <c r="T122" s="101">
        <f t="shared" si="48"/>
        <v>43</v>
      </c>
      <c r="U122" s="109">
        <f>27000000+180000000</f>
        <v>207000000</v>
      </c>
      <c r="V122" s="109">
        <f>18000000+200000000</f>
        <v>218000000</v>
      </c>
      <c r="W122" s="114">
        <f>27000000+200000000</f>
        <v>227000000</v>
      </c>
      <c r="X122" s="109">
        <f>27000000+245794932</f>
        <v>272794932</v>
      </c>
      <c r="Y122" s="95">
        <f t="shared" si="38"/>
        <v>924794932</v>
      </c>
      <c r="Z122" s="1464"/>
      <c r="AA122" s="115">
        <v>108987666.977</v>
      </c>
      <c r="AB122" s="1477"/>
      <c r="AC122" s="104">
        <f t="shared" si="27"/>
        <v>0.11785063175173197</v>
      </c>
      <c r="AD122" s="113">
        <v>815807265</v>
      </c>
      <c r="AE122" s="1477"/>
      <c r="AF122" s="104">
        <f t="shared" si="42"/>
        <v>0.88214936822339762</v>
      </c>
      <c r="AG122" s="106"/>
      <c r="AH122" s="1464"/>
      <c r="AI122" s="104">
        <f t="shared" si="43"/>
        <v>0</v>
      </c>
      <c r="AJ122" s="105"/>
      <c r="AK122" s="1464"/>
      <c r="AL122" s="104">
        <f t="shared" si="44"/>
        <v>0</v>
      </c>
      <c r="AM122" s="106"/>
      <c r="AN122" s="1464"/>
      <c r="AO122" s="104">
        <f t="shared" si="45"/>
        <v>0</v>
      </c>
      <c r="AP122" s="998">
        <f t="shared" si="40"/>
        <v>924794931.977</v>
      </c>
      <c r="AQ122" s="18" t="str">
        <f t="shared" si="49"/>
        <v>Error</v>
      </c>
      <c r="AR122" s="1150" t="s">
        <v>1190</v>
      </c>
    </row>
    <row r="123" spans="1:44" ht="38.25" x14ac:dyDescent="0.25">
      <c r="A123" s="2048"/>
      <c r="B123" s="1509"/>
      <c r="C123" s="2185"/>
      <c r="D123" s="2185"/>
      <c r="E123" s="1498" t="s">
        <v>220</v>
      </c>
      <c r="F123" s="1499" t="s">
        <v>1132</v>
      </c>
      <c r="G123" s="1501" t="s">
        <v>221</v>
      </c>
      <c r="H123" s="1473" t="s">
        <v>107</v>
      </c>
      <c r="I123" s="1473">
        <v>1</v>
      </c>
      <c r="J123" s="1467" t="s">
        <v>222</v>
      </c>
      <c r="K123" s="222" t="s">
        <v>812</v>
      </c>
      <c r="L123" s="224" t="s">
        <v>1133</v>
      </c>
      <c r="M123" s="221">
        <v>8</v>
      </c>
      <c r="N123" s="221">
        <v>12</v>
      </c>
      <c r="O123" s="219">
        <v>1</v>
      </c>
      <c r="P123" s="99">
        <v>3</v>
      </c>
      <c r="Q123" s="99">
        <v>4</v>
      </c>
      <c r="R123" s="99">
        <v>4</v>
      </c>
      <c r="S123" s="100"/>
      <c r="T123" s="101">
        <f t="shared" si="48"/>
        <v>12</v>
      </c>
      <c r="U123" s="113">
        <v>80000000</v>
      </c>
      <c r="V123" s="113">
        <v>127000000</v>
      </c>
      <c r="W123" s="113">
        <v>130000000</v>
      </c>
      <c r="X123" s="113">
        <v>133000000</v>
      </c>
      <c r="Y123" s="95">
        <f t="shared" si="38"/>
        <v>470000000</v>
      </c>
      <c r="Z123" s="1463">
        <f>+SUM(Y123:Y124)</f>
        <v>500000000</v>
      </c>
      <c r="AA123" s="109">
        <v>400000000</v>
      </c>
      <c r="AB123" s="1476">
        <f>+SUM(AA123:AA124)</f>
        <v>400000000</v>
      </c>
      <c r="AC123" s="104">
        <f t="shared" si="27"/>
        <v>0.85106382978723405</v>
      </c>
      <c r="AD123" s="109">
        <v>70000000</v>
      </c>
      <c r="AE123" s="1476">
        <f>+SUM(AD123:AD124)</f>
        <v>100000000</v>
      </c>
      <c r="AF123" s="104">
        <f t="shared" si="42"/>
        <v>0.14893617021276595</v>
      </c>
      <c r="AG123" s="106"/>
      <c r="AH123" s="1463">
        <f>+SUM(AG123:AG124)</f>
        <v>0</v>
      </c>
      <c r="AI123" s="104">
        <f t="shared" si="43"/>
        <v>0</v>
      </c>
      <c r="AJ123" s="105"/>
      <c r="AK123" s="1463">
        <f>+SUM(AJ123:AJ124)</f>
        <v>0</v>
      </c>
      <c r="AL123" s="104">
        <f t="shared" si="44"/>
        <v>0</v>
      </c>
      <c r="AM123" s="106"/>
      <c r="AN123" s="1463">
        <f>+SUM(AM123:AM124)</f>
        <v>0</v>
      </c>
      <c r="AO123" s="104">
        <f t="shared" si="45"/>
        <v>0</v>
      </c>
      <c r="AP123" s="998">
        <f t="shared" si="40"/>
        <v>470000000</v>
      </c>
      <c r="AQ123" s="18" t="str">
        <f t="shared" si="49"/>
        <v>Bien</v>
      </c>
      <c r="AR123" s="1150" t="s">
        <v>1191</v>
      </c>
    </row>
    <row r="124" spans="1:44" ht="38.25" x14ac:dyDescent="0.25">
      <c r="A124" s="2048"/>
      <c r="B124" s="1509"/>
      <c r="C124" s="2185"/>
      <c r="D124" s="2185"/>
      <c r="E124" s="1485"/>
      <c r="F124" s="1487"/>
      <c r="G124" s="1491"/>
      <c r="H124" s="1474"/>
      <c r="I124" s="1474"/>
      <c r="J124" s="1468"/>
      <c r="K124" s="222" t="s">
        <v>223</v>
      </c>
      <c r="L124" s="220" t="s">
        <v>39</v>
      </c>
      <c r="M124" s="185" t="s">
        <v>107</v>
      </c>
      <c r="N124" s="225">
        <v>1</v>
      </c>
      <c r="O124" s="219">
        <v>0.15</v>
      </c>
      <c r="P124" s="99">
        <v>0.25</v>
      </c>
      <c r="Q124" s="99">
        <v>0.3</v>
      </c>
      <c r="R124" s="99">
        <v>0.3</v>
      </c>
      <c r="S124" s="100"/>
      <c r="T124" s="116">
        <f t="shared" si="48"/>
        <v>1</v>
      </c>
      <c r="U124" s="113">
        <v>6000000</v>
      </c>
      <c r="V124" s="113">
        <v>8000000</v>
      </c>
      <c r="W124" s="113">
        <v>8000000</v>
      </c>
      <c r="X124" s="113">
        <v>8000000</v>
      </c>
      <c r="Y124" s="95">
        <f t="shared" si="38"/>
        <v>30000000</v>
      </c>
      <c r="Z124" s="1464"/>
      <c r="AA124" s="103"/>
      <c r="AB124" s="1477"/>
      <c r="AC124" s="104">
        <f t="shared" si="27"/>
        <v>0</v>
      </c>
      <c r="AD124" s="103">
        <v>30000000</v>
      </c>
      <c r="AE124" s="1477"/>
      <c r="AF124" s="104">
        <f t="shared" si="42"/>
        <v>1</v>
      </c>
      <c r="AG124" s="106"/>
      <c r="AH124" s="1464"/>
      <c r="AI124" s="104">
        <f t="shared" si="43"/>
        <v>0</v>
      </c>
      <c r="AJ124" s="105"/>
      <c r="AK124" s="1464"/>
      <c r="AL124" s="104">
        <f t="shared" si="44"/>
        <v>0</v>
      </c>
      <c r="AM124" s="106"/>
      <c r="AN124" s="1464"/>
      <c r="AO124" s="104">
        <f t="shared" si="45"/>
        <v>0</v>
      </c>
      <c r="AP124" s="998">
        <f t="shared" si="40"/>
        <v>30000000</v>
      </c>
      <c r="AQ124" s="18" t="str">
        <f t="shared" si="49"/>
        <v>Bien</v>
      </c>
      <c r="AR124" s="1150" t="s">
        <v>1191</v>
      </c>
    </row>
    <row r="125" spans="1:44" ht="48.75" customHeight="1" x14ac:dyDescent="0.25">
      <c r="A125" s="2048"/>
      <c r="B125" s="1509"/>
      <c r="C125" s="2185"/>
      <c r="D125" s="2185"/>
      <c r="E125" s="1465" t="s">
        <v>1012</v>
      </c>
      <c r="F125" s="1487"/>
      <c r="G125" s="1491"/>
      <c r="H125" s="1474"/>
      <c r="I125" s="1474"/>
      <c r="J125" s="1467" t="s">
        <v>1012</v>
      </c>
      <c r="K125" s="222" t="s">
        <v>813</v>
      </c>
      <c r="L125" s="221" t="s">
        <v>606</v>
      </c>
      <c r="M125" s="221" t="s">
        <v>107</v>
      </c>
      <c r="N125" s="221">
        <v>6200</v>
      </c>
      <c r="O125" s="219">
        <v>200</v>
      </c>
      <c r="P125" s="99">
        <v>2000</v>
      </c>
      <c r="Q125" s="99">
        <v>2000</v>
      </c>
      <c r="R125" s="99">
        <v>2000</v>
      </c>
      <c r="S125" s="100"/>
      <c r="T125" s="101">
        <f t="shared" si="48"/>
        <v>6200</v>
      </c>
      <c r="U125" s="113">
        <v>7200000</v>
      </c>
      <c r="V125" s="113">
        <v>20800000</v>
      </c>
      <c r="W125" s="113">
        <v>21000000</v>
      </c>
      <c r="X125" s="113">
        <v>21000000</v>
      </c>
      <c r="Y125" s="95">
        <f t="shared" si="38"/>
        <v>70000000</v>
      </c>
      <c r="Z125" s="1469">
        <f>+SUM(Y125:Y126)</f>
        <v>139778260</v>
      </c>
      <c r="AA125" s="113">
        <v>70000000</v>
      </c>
      <c r="AB125" s="1471">
        <f>+SUM(AA125:AA126)</f>
        <v>139778260</v>
      </c>
      <c r="AC125" s="104">
        <f t="shared" si="27"/>
        <v>1</v>
      </c>
      <c r="AD125" s="105"/>
      <c r="AE125" s="1471">
        <f>+SUM(AD125:AD126)</f>
        <v>0</v>
      </c>
      <c r="AF125" s="104">
        <f t="shared" si="42"/>
        <v>0</v>
      </c>
      <c r="AG125" s="106"/>
      <c r="AH125" s="1469">
        <f>+SUM(AG125:AG126)</f>
        <v>0</v>
      </c>
      <c r="AI125" s="104">
        <f t="shared" si="43"/>
        <v>0</v>
      </c>
      <c r="AJ125" s="105"/>
      <c r="AK125" s="1469">
        <f>+SUM(AJ125:AJ126)</f>
        <v>0</v>
      </c>
      <c r="AL125" s="104">
        <f t="shared" si="44"/>
        <v>0</v>
      </c>
      <c r="AM125" s="106"/>
      <c r="AN125" s="1469">
        <f>+SUM(AM125:AM126)</f>
        <v>0</v>
      </c>
      <c r="AO125" s="104">
        <f t="shared" si="45"/>
        <v>0</v>
      </c>
      <c r="AP125" s="998">
        <f t="shared" si="40"/>
        <v>70000000</v>
      </c>
      <c r="AQ125" s="18" t="str">
        <f t="shared" si="49"/>
        <v>Bien</v>
      </c>
      <c r="AR125" s="1150" t="s">
        <v>1189</v>
      </c>
    </row>
    <row r="126" spans="1:44" ht="60" customHeight="1" thickBot="1" x14ac:dyDescent="0.3">
      <c r="A126" s="2048"/>
      <c r="B126" s="1510"/>
      <c r="C126" s="2185"/>
      <c r="D126" s="2185"/>
      <c r="E126" s="1466"/>
      <c r="F126" s="1500"/>
      <c r="G126" s="1502"/>
      <c r="H126" s="1475"/>
      <c r="I126" s="1475"/>
      <c r="J126" s="1468"/>
      <c r="K126" s="222" t="s">
        <v>814</v>
      </c>
      <c r="L126" s="185" t="s">
        <v>606</v>
      </c>
      <c r="M126" s="185" t="s">
        <v>107</v>
      </c>
      <c r="N126" s="185">
        <v>1280</v>
      </c>
      <c r="O126" s="219">
        <v>80</v>
      </c>
      <c r="P126" s="99">
        <v>400</v>
      </c>
      <c r="Q126" s="99">
        <v>400</v>
      </c>
      <c r="R126" s="99">
        <v>400</v>
      </c>
      <c r="S126" s="100"/>
      <c r="T126" s="117">
        <f t="shared" si="48"/>
        <v>1280</v>
      </c>
      <c r="U126" s="113">
        <v>7200000</v>
      </c>
      <c r="V126" s="113">
        <v>20800000</v>
      </c>
      <c r="W126" s="113">
        <v>20800000</v>
      </c>
      <c r="X126" s="113">
        <v>20978260</v>
      </c>
      <c r="Y126" s="95">
        <f t="shared" si="38"/>
        <v>69778260</v>
      </c>
      <c r="Z126" s="1470"/>
      <c r="AA126" s="113">
        <v>69778260</v>
      </c>
      <c r="AB126" s="1472"/>
      <c r="AC126" s="104">
        <f t="shared" si="27"/>
        <v>1</v>
      </c>
      <c r="AD126" s="105"/>
      <c r="AE126" s="1472"/>
      <c r="AF126" s="104">
        <f t="shared" si="42"/>
        <v>0</v>
      </c>
      <c r="AG126" s="106"/>
      <c r="AH126" s="1470"/>
      <c r="AI126" s="104">
        <f t="shared" si="43"/>
        <v>0</v>
      </c>
      <c r="AJ126" s="105"/>
      <c r="AK126" s="1470"/>
      <c r="AL126" s="104">
        <f t="shared" si="44"/>
        <v>0</v>
      </c>
      <c r="AM126" s="106"/>
      <c r="AN126" s="1470"/>
      <c r="AO126" s="104">
        <f t="shared" si="45"/>
        <v>0</v>
      </c>
      <c r="AP126" s="998">
        <f t="shared" si="40"/>
        <v>69778260</v>
      </c>
      <c r="AQ126" s="18" t="str">
        <f t="shared" si="49"/>
        <v>Bien</v>
      </c>
      <c r="AR126" s="1150" t="s">
        <v>1189</v>
      </c>
    </row>
    <row r="127" spans="1:44" ht="39" customHeight="1" x14ac:dyDescent="0.25">
      <c r="A127" s="2048"/>
      <c r="B127" s="1508" t="s">
        <v>224</v>
      </c>
      <c r="C127" s="1771">
        <v>3301</v>
      </c>
      <c r="D127" s="1771" t="s">
        <v>1086</v>
      </c>
      <c r="E127" s="1282" t="s">
        <v>225</v>
      </c>
      <c r="F127" s="1285" t="s">
        <v>815</v>
      </c>
      <c r="G127" s="1288" t="s">
        <v>795</v>
      </c>
      <c r="H127" s="1288">
        <v>3000</v>
      </c>
      <c r="I127" s="1291">
        <v>6000</v>
      </c>
      <c r="J127" s="1528" t="s">
        <v>225</v>
      </c>
      <c r="K127" s="878" t="s">
        <v>607</v>
      </c>
      <c r="L127" s="879" t="s">
        <v>39</v>
      </c>
      <c r="M127" s="880">
        <v>1</v>
      </c>
      <c r="N127" s="880">
        <v>1</v>
      </c>
      <c r="O127" s="881">
        <v>0.1</v>
      </c>
      <c r="P127" s="882">
        <v>0.3</v>
      </c>
      <c r="Q127" s="882">
        <v>0.3</v>
      </c>
      <c r="R127" s="882">
        <v>0.3</v>
      </c>
      <c r="S127" s="883"/>
      <c r="T127" s="884">
        <f t="shared" si="48"/>
        <v>1</v>
      </c>
      <c r="U127" s="885">
        <v>50000000</v>
      </c>
      <c r="V127" s="885">
        <v>120000000</v>
      </c>
      <c r="W127" s="885">
        <v>125000000</v>
      </c>
      <c r="X127" s="885">
        <v>97043965</v>
      </c>
      <c r="Y127" s="886">
        <f t="shared" si="38"/>
        <v>392043965</v>
      </c>
      <c r="Z127" s="1534">
        <f>+SUM(Y127:Y129)</f>
        <v>542093169.39284301</v>
      </c>
      <c r="AA127" s="887"/>
      <c r="AB127" s="1531">
        <f>+SUM(AA127:AA129)</f>
        <v>0</v>
      </c>
      <c r="AC127" s="888">
        <f t="shared" si="27"/>
        <v>0</v>
      </c>
      <c r="AD127" s="889">
        <v>392043965</v>
      </c>
      <c r="AE127" s="1531">
        <f>+SUM(AD127:AD129)</f>
        <v>542093169.39284301</v>
      </c>
      <c r="AF127" s="888">
        <f t="shared" si="42"/>
        <v>1</v>
      </c>
      <c r="AG127" s="890"/>
      <c r="AH127" s="1534">
        <f>+SUM(AG127:AG129)</f>
        <v>0</v>
      </c>
      <c r="AI127" s="888">
        <f t="shared" si="43"/>
        <v>0</v>
      </c>
      <c r="AJ127" s="891"/>
      <c r="AK127" s="1534">
        <f>+SUM(AJ127:AJ129)</f>
        <v>0</v>
      </c>
      <c r="AL127" s="888">
        <f t="shared" si="44"/>
        <v>0</v>
      </c>
      <c r="AM127" s="890"/>
      <c r="AN127" s="1520">
        <f>+SUM(AM127:AM128)</f>
        <v>0</v>
      </c>
      <c r="AO127" s="118">
        <f t="shared" si="45"/>
        <v>0</v>
      </c>
      <c r="AP127" s="999">
        <f t="shared" si="40"/>
        <v>392043965</v>
      </c>
      <c r="AQ127" s="18" t="str">
        <f t="shared" si="49"/>
        <v>Bien</v>
      </c>
      <c r="AR127" s="1150" t="s">
        <v>1189</v>
      </c>
    </row>
    <row r="128" spans="1:44" ht="37.5" customHeight="1" x14ac:dyDescent="0.25">
      <c r="A128" s="2048"/>
      <c r="B128" s="1509"/>
      <c r="C128" s="1771"/>
      <c r="D128" s="1771"/>
      <c r="E128" s="1283"/>
      <c r="F128" s="1286"/>
      <c r="G128" s="1289"/>
      <c r="H128" s="1289"/>
      <c r="I128" s="1292"/>
      <c r="J128" s="1529"/>
      <c r="K128" s="878" t="s">
        <v>816</v>
      </c>
      <c r="L128" s="879" t="s">
        <v>1260</v>
      </c>
      <c r="M128" s="892">
        <v>1</v>
      </c>
      <c r="N128" s="892">
        <v>3</v>
      </c>
      <c r="O128" s="893">
        <v>1</v>
      </c>
      <c r="P128" s="894">
        <v>2</v>
      </c>
      <c r="Q128" s="894">
        <v>3</v>
      </c>
      <c r="R128" s="894"/>
      <c r="S128" s="883"/>
      <c r="T128" s="895">
        <f t="shared" si="48"/>
        <v>6</v>
      </c>
      <c r="U128" s="896">
        <v>35865818</v>
      </c>
      <c r="V128" s="897">
        <v>36941792.539999999</v>
      </c>
      <c r="W128" s="897">
        <f>19025023*2</f>
        <v>38050046</v>
      </c>
      <c r="X128" s="897"/>
      <c r="Y128" s="886">
        <f t="shared" si="38"/>
        <v>110857656.53999999</v>
      </c>
      <c r="Z128" s="1535"/>
      <c r="AA128" s="887"/>
      <c r="AB128" s="1532"/>
      <c r="AC128" s="888">
        <f t="shared" si="27"/>
        <v>0</v>
      </c>
      <c r="AD128" s="891">
        <f>+Y128</f>
        <v>110857656.53999999</v>
      </c>
      <c r="AE128" s="1532"/>
      <c r="AF128" s="888">
        <f t="shared" si="42"/>
        <v>1</v>
      </c>
      <c r="AG128" s="890"/>
      <c r="AH128" s="1535"/>
      <c r="AI128" s="888">
        <f t="shared" si="43"/>
        <v>0</v>
      </c>
      <c r="AJ128" s="891"/>
      <c r="AK128" s="1535"/>
      <c r="AL128" s="888">
        <f t="shared" si="44"/>
        <v>0</v>
      </c>
      <c r="AM128" s="890"/>
      <c r="AN128" s="1507"/>
      <c r="AO128" s="118">
        <f t="shared" si="45"/>
        <v>0</v>
      </c>
      <c r="AP128" s="999">
        <f t="shared" si="40"/>
        <v>110857656.53999999</v>
      </c>
      <c r="AQ128" s="18" t="str">
        <f t="shared" si="49"/>
        <v>Bien</v>
      </c>
      <c r="AR128" s="1150" t="s">
        <v>1189</v>
      </c>
    </row>
    <row r="129" spans="1:44" ht="37.5" customHeight="1" x14ac:dyDescent="0.25">
      <c r="A129" s="2048"/>
      <c r="B129" s="1509"/>
      <c r="C129" s="1771"/>
      <c r="D129" s="1771"/>
      <c r="E129" s="1284"/>
      <c r="F129" s="1287"/>
      <c r="G129" s="1290"/>
      <c r="H129" s="1290"/>
      <c r="I129" s="1293"/>
      <c r="J129" s="1530"/>
      <c r="K129" s="878" t="s">
        <v>1023</v>
      </c>
      <c r="L129" s="879" t="s">
        <v>817</v>
      </c>
      <c r="M129" s="892">
        <v>0</v>
      </c>
      <c r="N129" s="892">
        <v>2</v>
      </c>
      <c r="O129" s="893"/>
      <c r="P129" s="894"/>
      <c r="Q129" s="894"/>
      <c r="R129" s="894">
        <v>2</v>
      </c>
      <c r="S129" s="883"/>
      <c r="T129" s="895"/>
      <c r="U129" s="896"/>
      <c r="V129" s="897"/>
      <c r="W129" s="897"/>
      <c r="X129" s="897">
        <f>19595773.852843+19025023+570751</f>
        <v>39191547.852843001</v>
      </c>
      <c r="Y129" s="898">
        <f t="shared" si="38"/>
        <v>39191547.852843001</v>
      </c>
      <c r="Z129" s="1536"/>
      <c r="AA129" s="887"/>
      <c r="AB129" s="1533"/>
      <c r="AC129" s="888"/>
      <c r="AD129" s="891">
        <f>+Y129</f>
        <v>39191547.852843001</v>
      </c>
      <c r="AE129" s="1533"/>
      <c r="AF129" s="888"/>
      <c r="AG129" s="890"/>
      <c r="AH129" s="1536"/>
      <c r="AI129" s="888"/>
      <c r="AJ129" s="891"/>
      <c r="AK129" s="1536"/>
      <c r="AL129" s="888"/>
      <c r="AM129" s="890"/>
      <c r="AN129" s="316"/>
      <c r="AO129" s="118"/>
      <c r="AP129" s="999"/>
      <c r="AQ129" s="18"/>
      <c r="AR129" s="1150" t="s">
        <v>1189</v>
      </c>
    </row>
    <row r="130" spans="1:44" ht="25.5" x14ac:dyDescent="0.25">
      <c r="A130" s="2048"/>
      <c r="B130" s="1509"/>
      <c r="C130" s="1771"/>
      <c r="D130" s="1771"/>
      <c r="E130" s="1514" t="s">
        <v>224</v>
      </c>
      <c r="F130" s="1521" t="s">
        <v>1075</v>
      </c>
      <c r="G130" s="1521" t="s">
        <v>819</v>
      </c>
      <c r="H130" s="1524" t="s">
        <v>107</v>
      </c>
      <c r="I130" s="1525">
        <v>1</v>
      </c>
      <c r="J130" s="1517" t="s">
        <v>226</v>
      </c>
      <c r="K130" s="878" t="s">
        <v>818</v>
      </c>
      <c r="L130" s="892" t="s">
        <v>820</v>
      </c>
      <c r="M130" s="892">
        <v>120</v>
      </c>
      <c r="N130" s="892">
        <v>180</v>
      </c>
      <c r="O130" s="899">
        <v>30</v>
      </c>
      <c r="P130" s="900">
        <v>50</v>
      </c>
      <c r="Q130" s="900">
        <v>50</v>
      </c>
      <c r="R130" s="900">
        <v>50</v>
      </c>
      <c r="S130" s="883"/>
      <c r="T130" s="895">
        <f t="shared" si="48"/>
        <v>180</v>
      </c>
      <c r="U130" s="901">
        <v>12000000</v>
      </c>
      <c r="V130" s="901">
        <v>26000000</v>
      </c>
      <c r="W130" s="901">
        <v>26000000</v>
      </c>
      <c r="X130" s="901">
        <v>26000000</v>
      </c>
      <c r="Y130" s="886">
        <f t="shared" si="38"/>
        <v>90000000</v>
      </c>
      <c r="Z130" s="1511">
        <f>+SUM(Y130:Y136)</f>
        <v>1445081650.934104</v>
      </c>
      <c r="AA130" s="887">
        <v>90000000</v>
      </c>
      <c r="AB130" s="1519">
        <f>+SUM(AA130:AA136)</f>
        <v>285000000</v>
      </c>
      <c r="AC130" s="888">
        <f t="shared" si="27"/>
        <v>1</v>
      </c>
      <c r="AD130" s="891"/>
      <c r="AE130" s="1519">
        <f>+SUM(AD130:AD136)</f>
        <v>1160081650.934104</v>
      </c>
      <c r="AF130" s="888">
        <f t="shared" si="42"/>
        <v>0</v>
      </c>
      <c r="AG130" s="890"/>
      <c r="AH130" s="1511">
        <f>+SUM(AG130:AG136)</f>
        <v>0</v>
      </c>
      <c r="AI130" s="888">
        <f t="shared" si="43"/>
        <v>0</v>
      </c>
      <c r="AJ130" s="891"/>
      <c r="AK130" s="1511">
        <f>+SUM(AJ130:AJ136)</f>
        <v>0</v>
      </c>
      <c r="AL130" s="888">
        <f t="shared" si="44"/>
        <v>0</v>
      </c>
      <c r="AM130" s="890"/>
      <c r="AN130" s="1505">
        <f>+SUM(AM130:AM136)</f>
        <v>0</v>
      </c>
      <c r="AO130" s="118">
        <f t="shared" si="45"/>
        <v>0</v>
      </c>
      <c r="AP130" s="999">
        <f t="shared" si="40"/>
        <v>90000000</v>
      </c>
      <c r="AQ130" s="18" t="str">
        <f t="shared" si="49"/>
        <v>Bien</v>
      </c>
      <c r="AR130" s="1150" t="s">
        <v>1189</v>
      </c>
    </row>
    <row r="131" spans="1:44" ht="38.25" x14ac:dyDescent="0.25">
      <c r="A131" s="2048"/>
      <c r="B131" s="1509"/>
      <c r="C131" s="1771"/>
      <c r="D131" s="1771"/>
      <c r="E131" s="1515"/>
      <c r="F131" s="1522"/>
      <c r="G131" s="1522"/>
      <c r="H131" s="1289"/>
      <c r="I131" s="1526"/>
      <c r="J131" s="1518"/>
      <c r="K131" s="878" t="s">
        <v>821</v>
      </c>
      <c r="L131" s="892" t="s">
        <v>227</v>
      </c>
      <c r="M131" s="892" t="s">
        <v>107</v>
      </c>
      <c r="N131" s="892">
        <v>1</v>
      </c>
      <c r="O131" s="899">
        <v>0</v>
      </c>
      <c r="P131" s="900">
        <v>1</v>
      </c>
      <c r="Q131" s="900">
        <v>0</v>
      </c>
      <c r="R131" s="900">
        <v>0</v>
      </c>
      <c r="S131" s="883"/>
      <c r="T131" s="895">
        <f t="shared" si="48"/>
        <v>1</v>
      </c>
      <c r="U131" s="887"/>
      <c r="V131" s="885">
        <v>12500000</v>
      </c>
      <c r="W131" s="885"/>
      <c r="X131" s="885"/>
      <c r="Y131" s="886">
        <f t="shared" si="38"/>
        <v>12500000</v>
      </c>
      <c r="Z131" s="1512"/>
      <c r="AA131" s="887">
        <v>12500000</v>
      </c>
      <c r="AB131" s="1481"/>
      <c r="AC131" s="888">
        <f t="shared" si="27"/>
        <v>1</v>
      </c>
      <c r="AD131" s="891"/>
      <c r="AE131" s="1481"/>
      <c r="AF131" s="888">
        <f t="shared" si="42"/>
        <v>0</v>
      </c>
      <c r="AG131" s="890"/>
      <c r="AH131" s="1512"/>
      <c r="AI131" s="888">
        <f t="shared" si="43"/>
        <v>0</v>
      </c>
      <c r="AJ131" s="891"/>
      <c r="AK131" s="1512"/>
      <c r="AL131" s="888">
        <f t="shared" si="44"/>
        <v>0</v>
      </c>
      <c r="AM131" s="890"/>
      <c r="AN131" s="1506"/>
      <c r="AO131" s="118">
        <f t="shared" si="45"/>
        <v>0</v>
      </c>
      <c r="AP131" s="999">
        <f t="shared" si="40"/>
        <v>12500000</v>
      </c>
      <c r="AQ131" s="18" t="str">
        <f t="shared" si="49"/>
        <v>Bien</v>
      </c>
      <c r="AR131" s="1150" t="s">
        <v>1189</v>
      </c>
    </row>
    <row r="132" spans="1:44" ht="25.5" x14ac:dyDescent="0.25">
      <c r="A132" s="2048"/>
      <c r="B132" s="1509"/>
      <c r="C132" s="1771"/>
      <c r="D132" s="1771"/>
      <c r="E132" s="1515"/>
      <c r="F132" s="1522"/>
      <c r="G132" s="1522"/>
      <c r="H132" s="1289"/>
      <c r="I132" s="1526"/>
      <c r="J132" s="1518"/>
      <c r="K132" s="878" t="s">
        <v>1076</v>
      </c>
      <c r="L132" s="892" t="s">
        <v>347</v>
      </c>
      <c r="M132" s="978">
        <v>0</v>
      </c>
      <c r="N132" s="978">
        <v>1</v>
      </c>
      <c r="O132" s="979">
        <v>0.3</v>
      </c>
      <c r="P132" s="980">
        <v>0.3</v>
      </c>
      <c r="Q132" s="980">
        <v>0.4</v>
      </c>
      <c r="R132" s="980"/>
      <c r="S132" s="883"/>
      <c r="T132" s="903">
        <f t="shared" si="48"/>
        <v>1</v>
      </c>
      <c r="U132" s="887">
        <v>10000000</v>
      </c>
      <c r="V132" s="885">
        <v>10000000</v>
      </c>
      <c r="W132" s="885">
        <v>17500000</v>
      </c>
      <c r="X132" s="885"/>
      <c r="Y132" s="886">
        <f t="shared" si="38"/>
        <v>37500000</v>
      </c>
      <c r="Z132" s="1512"/>
      <c r="AA132" s="887">
        <v>37500000</v>
      </c>
      <c r="AB132" s="1481"/>
      <c r="AC132" s="888">
        <f t="shared" si="27"/>
        <v>1</v>
      </c>
      <c r="AD132" s="891"/>
      <c r="AE132" s="1481"/>
      <c r="AF132" s="888">
        <f t="shared" si="42"/>
        <v>0</v>
      </c>
      <c r="AG132" s="890"/>
      <c r="AH132" s="1512"/>
      <c r="AI132" s="888">
        <f t="shared" si="43"/>
        <v>0</v>
      </c>
      <c r="AJ132" s="891"/>
      <c r="AK132" s="1512"/>
      <c r="AL132" s="888">
        <f t="shared" si="44"/>
        <v>0</v>
      </c>
      <c r="AM132" s="890"/>
      <c r="AN132" s="1506"/>
      <c r="AO132" s="118">
        <f t="shared" si="45"/>
        <v>0</v>
      </c>
      <c r="AP132" s="999">
        <f t="shared" si="40"/>
        <v>37500000</v>
      </c>
      <c r="AQ132" s="18" t="str">
        <f t="shared" si="49"/>
        <v>Bien</v>
      </c>
      <c r="AR132" s="1150" t="s">
        <v>1189</v>
      </c>
    </row>
    <row r="133" spans="1:44" ht="33.75" customHeight="1" x14ac:dyDescent="0.25">
      <c r="A133" s="2048"/>
      <c r="B133" s="1509"/>
      <c r="C133" s="1771"/>
      <c r="D133" s="1771"/>
      <c r="E133" s="1515"/>
      <c r="F133" s="1522"/>
      <c r="G133" s="1522"/>
      <c r="H133" s="1289"/>
      <c r="I133" s="1526"/>
      <c r="J133" s="1518"/>
      <c r="K133" s="878" t="s">
        <v>1077</v>
      </c>
      <c r="L133" s="892" t="s">
        <v>39</v>
      </c>
      <c r="M133" s="880">
        <v>0</v>
      </c>
      <c r="N133" s="880">
        <v>0.2</v>
      </c>
      <c r="O133" s="981"/>
      <c r="P133" s="981"/>
      <c r="Q133" s="981"/>
      <c r="R133" s="981">
        <v>0.2</v>
      </c>
      <c r="S133" s="977"/>
      <c r="T133" s="903"/>
      <c r="U133" s="887"/>
      <c r="V133" s="885"/>
      <c r="W133" s="885"/>
      <c r="X133" s="885">
        <v>70000000</v>
      </c>
      <c r="Y133" s="886">
        <f t="shared" si="38"/>
        <v>70000000</v>
      </c>
      <c r="Z133" s="1512"/>
      <c r="AA133" s="887">
        <f>+Y133</f>
        <v>70000000</v>
      </c>
      <c r="AB133" s="1481"/>
      <c r="AC133" s="888"/>
      <c r="AD133" s="891"/>
      <c r="AE133" s="1481"/>
      <c r="AF133" s="888"/>
      <c r="AG133" s="890"/>
      <c r="AH133" s="1512"/>
      <c r="AI133" s="888"/>
      <c r="AJ133" s="891"/>
      <c r="AK133" s="1512"/>
      <c r="AL133" s="888"/>
      <c r="AM133" s="890"/>
      <c r="AN133" s="1506"/>
      <c r="AO133" s="118"/>
      <c r="AP133" s="999">
        <f t="shared" si="40"/>
        <v>70000000</v>
      </c>
      <c r="AQ133" s="18" t="str">
        <f t="shared" si="49"/>
        <v>Bien</v>
      </c>
      <c r="AR133" s="1150" t="s">
        <v>1189</v>
      </c>
    </row>
    <row r="134" spans="1:44" ht="25.5" x14ac:dyDescent="0.25">
      <c r="A134" s="2048"/>
      <c r="B134" s="1509"/>
      <c r="C134" s="1771"/>
      <c r="D134" s="1771"/>
      <c r="E134" s="1515"/>
      <c r="F134" s="1522"/>
      <c r="G134" s="1522"/>
      <c r="H134" s="1289"/>
      <c r="I134" s="1526"/>
      <c r="J134" s="1518"/>
      <c r="K134" s="878" t="s">
        <v>608</v>
      </c>
      <c r="L134" s="892" t="s">
        <v>822</v>
      </c>
      <c r="M134" s="892">
        <v>1</v>
      </c>
      <c r="N134" s="892">
        <v>4</v>
      </c>
      <c r="O134" s="892">
        <v>1</v>
      </c>
      <c r="P134" s="892">
        <v>1</v>
      </c>
      <c r="Q134" s="892">
        <v>1</v>
      </c>
      <c r="R134" s="892">
        <v>1</v>
      </c>
      <c r="S134" s="883"/>
      <c r="T134" s="903">
        <f t="shared" si="48"/>
        <v>4</v>
      </c>
      <c r="U134" s="885">
        <v>106214163</v>
      </c>
      <c r="V134" s="885">
        <f>+U134*0.02+106214163</f>
        <v>108338446.26000001</v>
      </c>
      <c r="W134" s="885">
        <f>+V134*0.02+V134</f>
        <v>110505215.18520001</v>
      </c>
      <c r="X134" s="885">
        <f>+W134*0.02+W134</f>
        <v>112715319.488904</v>
      </c>
      <c r="Y134" s="886">
        <f t="shared" si="38"/>
        <v>437773143.93410397</v>
      </c>
      <c r="Z134" s="1512"/>
      <c r="AA134" s="887"/>
      <c r="AB134" s="1481"/>
      <c r="AC134" s="888">
        <f t="shared" si="27"/>
        <v>0</v>
      </c>
      <c r="AD134" s="891">
        <v>437773143.93410397</v>
      </c>
      <c r="AE134" s="1481"/>
      <c r="AF134" s="888">
        <f t="shared" si="42"/>
        <v>1</v>
      </c>
      <c r="AG134" s="890"/>
      <c r="AH134" s="1512"/>
      <c r="AI134" s="888">
        <f t="shared" si="43"/>
        <v>0</v>
      </c>
      <c r="AJ134" s="891"/>
      <c r="AK134" s="1512"/>
      <c r="AL134" s="888">
        <f t="shared" si="44"/>
        <v>0</v>
      </c>
      <c r="AM134" s="890"/>
      <c r="AN134" s="1506"/>
      <c r="AO134" s="118">
        <f t="shared" si="45"/>
        <v>0</v>
      </c>
      <c r="AP134" s="999">
        <f t="shared" si="40"/>
        <v>437773143.93410397</v>
      </c>
      <c r="AQ134" s="18" t="str">
        <f t="shared" si="49"/>
        <v>Bien</v>
      </c>
      <c r="AR134" s="1150" t="s">
        <v>1189</v>
      </c>
    </row>
    <row r="135" spans="1:44" ht="89.25" x14ac:dyDescent="0.25">
      <c r="A135" s="2048"/>
      <c r="B135" s="1509"/>
      <c r="C135" s="1771"/>
      <c r="D135" s="1771"/>
      <c r="E135" s="1515"/>
      <c r="F135" s="1522"/>
      <c r="G135" s="1522"/>
      <c r="H135" s="1289"/>
      <c r="I135" s="1526"/>
      <c r="J135" s="1518"/>
      <c r="K135" s="878" t="s">
        <v>1042</v>
      </c>
      <c r="L135" s="892" t="s">
        <v>823</v>
      </c>
      <c r="M135" s="892">
        <v>5</v>
      </c>
      <c r="N135" s="892">
        <v>7</v>
      </c>
      <c r="O135" s="899">
        <v>7</v>
      </c>
      <c r="P135" s="900">
        <v>7</v>
      </c>
      <c r="Q135" s="900">
        <v>7</v>
      </c>
      <c r="R135" s="900">
        <v>7</v>
      </c>
      <c r="S135" s="883"/>
      <c r="T135" s="895">
        <f t="shared" si="48"/>
        <v>28</v>
      </c>
      <c r="U135" s="885">
        <v>148308507</v>
      </c>
      <c r="V135" s="885">
        <f>90000000+108000000</f>
        <v>198000000</v>
      </c>
      <c r="W135" s="885">
        <f>82000000+108000000</f>
        <v>190000000</v>
      </c>
      <c r="X135" s="885">
        <f>78000000+108000000</f>
        <v>186000000</v>
      </c>
      <c r="Y135" s="886">
        <f t="shared" si="38"/>
        <v>722308507</v>
      </c>
      <c r="Z135" s="1512"/>
      <c r="AA135" s="887"/>
      <c r="AB135" s="1481"/>
      <c r="AC135" s="888">
        <f t="shared" si="27"/>
        <v>0</v>
      </c>
      <c r="AD135" s="891">
        <v>722308507</v>
      </c>
      <c r="AE135" s="1481"/>
      <c r="AF135" s="888">
        <f t="shared" si="42"/>
        <v>1</v>
      </c>
      <c r="AG135" s="890"/>
      <c r="AH135" s="1512"/>
      <c r="AI135" s="888">
        <f t="shared" si="43"/>
        <v>0</v>
      </c>
      <c r="AJ135" s="891"/>
      <c r="AK135" s="1512"/>
      <c r="AL135" s="888">
        <f t="shared" si="44"/>
        <v>0</v>
      </c>
      <c r="AM135" s="890"/>
      <c r="AN135" s="1506"/>
      <c r="AO135" s="118">
        <f t="shared" si="45"/>
        <v>0</v>
      </c>
      <c r="AP135" s="999">
        <f t="shared" si="40"/>
        <v>722308507</v>
      </c>
      <c r="AQ135" s="18" t="str">
        <f t="shared" si="49"/>
        <v>Bien</v>
      </c>
      <c r="AR135" s="1150" t="s">
        <v>1189</v>
      </c>
    </row>
    <row r="136" spans="1:44" ht="63.75" x14ac:dyDescent="0.25">
      <c r="A136" s="2048"/>
      <c r="B136" s="1509"/>
      <c r="C136" s="1771"/>
      <c r="D136" s="1771"/>
      <c r="E136" s="1516"/>
      <c r="F136" s="1522"/>
      <c r="G136" s="1522"/>
      <c r="H136" s="1289"/>
      <c r="I136" s="1526"/>
      <c r="J136" s="1518"/>
      <c r="K136" s="878" t="s">
        <v>824</v>
      </c>
      <c r="L136" s="892" t="s">
        <v>825</v>
      </c>
      <c r="M136" s="892" t="s">
        <v>107</v>
      </c>
      <c r="N136" s="892">
        <v>1</v>
      </c>
      <c r="O136" s="899">
        <v>0</v>
      </c>
      <c r="P136" s="902">
        <v>0.2</v>
      </c>
      <c r="Q136" s="902">
        <v>0.4</v>
      </c>
      <c r="R136" s="902">
        <v>0.4</v>
      </c>
      <c r="S136" s="883"/>
      <c r="T136" s="895">
        <f t="shared" si="48"/>
        <v>1</v>
      </c>
      <c r="U136" s="887"/>
      <c r="V136" s="904">
        <v>25000000</v>
      </c>
      <c r="W136" s="904">
        <v>25000000</v>
      </c>
      <c r="X136" s="904">
        <v>25000000</v>
      </c>
      <c r="Y136" s="886">
        <f t="shared" si="38"/>
        <v>75000000</v>
      </c>
      <c r="Z136" s="1513"/>
      <c r="AA136" s="887">
        <v>75000000</v>
      </c>
      <c r="AB136" s="1477"/>
      <c r="AC136" s="888">
        <f t="shared" si="27"/>
        <v>1</v>
      </c>
      <c r="AD136" s="891"/>
      <c r="AE136" s="1477"/>
      <c r="AF136" s="888">
        <f t="shared" si="42"/>
        <v>0</v>
      </c>
      <c r="AG136" s="890"/>
      <c r="AH136" s="1513"/>
      <c r="AI136" s="888">
        <f t="shared" si="43"/>
        <v>0</v>
      </c>
      <c r="AJ136" s="891"/>
      <c r="AK136" s="1513"/>
      <c r="AL136" s="888">
        <f t="shared" si="44"/>
        <v>0</v>
      </c>
      <c r="AM136" s="890"/>
      <c r="AN136" s="1507"/>
      <c r="AO136" s="118">
        <f t="shared" si="45"/>
        <v>0</v>
      </c>
      <c r="AP136" s="999">
        <f t="shared" si="40"/>
        <v>75000000</v>
      </c>
      <c r="AQ136" s="18" t="str">
        <f t="shared" si="49"/>
        <v>Bien</v>
      </c>
      <c r="AR136" s="1150" t="s">
        <v>1192</v>
      </c>
    </row>
    <row r="137" spans="1:44" ht="38.25" x14ac:dyDescent="0.25">
      <c r="A137" s="2048"/>
      <c r="B137" s="1509"/>
      <c r="C137" s="1771"/>
      <c r="D137" s="1771"/>
      <c r="E137" s="1514" t="s">
        <v>229</v>
      </c>
      <c r="F137" s="1522"/>
      <c r="G137" s="1522"/>
      <c r="H137" s="1289"/>
      <c r="I137" s="1526"/>
      <c r="J137" s="1517" t="s">
        <v>609</v>
      </c>
      <c r="K137" s="878" t="s">
        <v>230</v>
      </c>
      <c r="L137" s="892" t="s">
        <v>610</v>
      </c>
      <c r="M137" s="892" t="s">
        <v>107</v>
      </c>
      <c r="N137" s="892">
        <v>18</v>
      </c>
      <c r="O137" s="905">
        <v>0</v>
      </c>
      <c r="P137" s="768">
        <v>6</v>
      </c>
      <c r="Q137" s="768">
        <v>6</v>
      </c>
      <c r="R137" s="768">
        <v>6</v>
      </c>
      <c r="S137" s="883"/>
      <c r="T137" s="895">
        <f t="shared" si="48"/>
        <v>18</v>
      </c>
      <c r="U137" s="885">
        <v>67000000</v>
      </c>
      <c r="V137" s="885">
        <v>87000000</v>
      </c>
      <c r="W137" s="885">
        <v>92000000</v>
      </c>
      <c r="X137" s="885">
        <v>99000000</v>
      </c>
      <c r="Y137" s="886">
        <f t="shared" si="38"/>
        <v>345000000</v>
      </c>
      <c r="Z137" s="1511">
        <f>+SUM(Y137:Y141)</f>
        <v>5373579377.1640396</v>
      </c>
      <c r="AA137" s="887">
        <v>345000000</v>
      </c>
      <c r="AB137" s="1519">
        <f>+SUM(AA137:AA141)</f>
        <v>4955216677.1640396</v>
      </c>
      <c r="AC137" s="888">
        <f t="shared" si="27"/>
        <v>1</v>
      </c>
      <c r="AD137" s="891"/>
      <c r="AE137" s="1519">
        <f>+SUM(AD137:AD141)</f>
        <v>418362700</v>
      </c>
      <c r="AF137" s="888">
        <f t="shared" si="42"/>
        <v>0</v>
      </c>
      <c r="AG137" s="890"/>
      <c r="AH137" s="1511">
        <f>+SUM(AG137:AG141)</f>
        <v>0</v>
      </c>
      <c r="AI137" s="888">
        <f t="shared" si="43"/>
        <v>0</v>
      </c>
      <c r="AJ137" s="891"/>
      <c r="AK137" s="1511">
        <f>+SUM(AJ137:AJ141)</f>
        <v>0</v>
      </c>
      <c r="AL137" s="888">
        <f t="shared" si="44"/>
        <v>0</v>
      </c>
      <c r="AM137" s="890"/>
      <c r="AN137" s="1505">
        <f>+SUM(AM137:AM141)</f>
        <v>0</v>
      </c>
      <c r="AO137" s="118">
        <f t="shared" si="45"/>
        <v>0</v>
      </c>
      <c r="AP137" s="999">
        <f t="shared" si="40"/>
        <v>345000000</v>
      </c>
      <c r="AQ137" s="18" t="str">
        <f t="shared" si="49"/>
        <v>Bien</v>
      </c>
      <c r="AR137" s="1149" t="s">
        <v>1189</v>
      </c>
    </row>
    <row r="138" spans="1:44" ht="25.5" x14ac:dyDescent="0.25">
      <c r="A138" s="2048"/>
      <c r="B138" s="1509"/>
      <c r="C138" s="1771"/>
      <c r="D138" s="1771"/>
      <c r="E138" s="1515"/>
      <c r="F138" s="1522"/>
      <c r="G138" s="1522"/>
      <c r="H138" s="1289"/>
      <c r="I138" s="1526"/>
      <c r="J138" s="1518"/>
      <c r="K138" s="878" t="s">
        <v>231</v>
      </c>
      <c r="L138" s="892" t="s">
        <v>826</v>
      </c>
      <c r="M138" s="892">
        <v>20</v>
      </c>
      <c r="N138" s="892">
        <v>24</v>
      </c>
      <c r="O138" s="905">
        <v>1</v>
      </c>
      <c r="P138" s="768">
        <v>3</v>
      </c>
      <c r="Q138" s="768">
        <v>10</v>
      </c>
      <c r="R138" s="768">
        <v>10</v>
      </c>
      <c r="S138" s="883"/>
      <c r="T138" s="895">
        <f t="shared" si="48"/>
        <v>24</v>
      </c>
      <c r="U138" s="906">
        <f>585298455+84590675</f>
        <v>669889130</v>
      </c>
      <c r="V138" s="906">
        <f>585298455+99590675</f>
        <v>684889130</v>
      </c>
      <c r="W138" s="906">
        <f>585298455+104590675+5000000</f>
        <v>694889130</v>
      </c>
      <c r="X138" s="906">
        <f>585298455+114590675+10000000</f>
        <v>709889130</v>
      </c>
      <c r="Y138" s="886">
        <f t="shared" si="38"/>
        <v>2759556520</v>
      </c>
      <c r="Z138" s="1512"/>
      <c r="AA138" s="907">
        <v>2341193820</v>
      </c>
      <c r="AB138" s="1481"/>
      <c r="AC138" s="888">
        <f t="shared" si="27"/>
        <v>0.84839495151923905</v>
      </c>
      <c r="AD138" s="908">
        <v>418362700</v>
      </c>
      <c r="AE138" s="1481"/>
      <c r="AF138" s="888">
        <f t="shared" si="42"/>
        <v>0.15160504848076095</v>
      </c>
      <c r="AG138" s="890"/>
      <c r="AH138" s="1512"/>
      <c r="AI138" s="888">
        <f t="shared" si="43"/>
        <v>0</v>
      </c>
      <c r="AJ138" s="891"/>
      <c r="AK138" s="1512"/>
      <c r="AL138" s="888">
        <f t="shared" si="44"/>
        <v>0</v>
      </c>
      <c r="AM138" s="890"/>
      <c r="AN138" s="1506"/>
      <c r="AO138" s="118">
        <f t="shared" si="45"/>
        <v>0</v>
      </c>
      <c r="AP138" s="999">
        <f t="shared" si="40"/>
        <v>2759556520</v>
      </c>
      <c r="AQ138" s="18" t="str">
        <f t="shared" si="49"/>
        <v>Bien</v>
      </c>
      <c r="AR138" s="1149" t="s">
        <v>1189</v>
      </c>
    </row>
    <row r="139" spans="1:44" ht="25.5" customHeight="1" x14ac:dyDescent="0.25">
      <c r="A139" s="2048"/>
      <c r="B139" s="1509"/>
      <c r="C139" s="1771"/>
      <c r="D139" s="1771"/>
      <c r="E139" s="1515"/>
      <c r="F139" s="1522"/>
      <c r="G139" s="1522"/>
      <c r="H139" s="1289"/>
      <c r="I139" s="1526"/>
      <c r="J139" s="1518"/>
      <c r="K139" s="878" t="s">
        <v>827</v>
      </c>
      <c r="L139" s="892" t="s">
        <v>828</v>
      </c>
      <c r="M139" s="880">
        <v>0.6</v>
      </c>
      <c r="N139" s="880">
        <v>1</v>
      </c>
      <c r="O139" s="905">
        <v>0</v>
      </c>
      <c r="P139" s="768">
        <v>0.3</v>
      </c>
      <c r="Q139" s="768">
        <v>0.4</v>
      </c>
      <c r="R139" s="768">
        <v>0.3</v>
      </c>
      <c r="S139" s="883"/>
      <c r="T139" s="903">
        <f t="shared" si="48"/>
        <v>1</v>
      </c>
      <c r="U139" s="909">
        <v>132498560</v>
      </c>
      <c r="V139" s="910">
        <v>136473516.80000001</v>
      </c>
      <c r="W139" s="910">
        <v>140567722.30400002</v>
      </c>
      <c r="X139" s="910">
        <v>144784753.97312003</v>
      </c>
      <c r="Y139" s="886">
        <f t="shared" si="38"/>
        <v>554324553.07712007</v>
      </c>
      <c r="Z139" s="1512"/>
      <c r="AA139" s="887">
        <v>554324553.07712007</v>
      </c>
      <c r="AB139" s="1481"/>
      <c r="AC139" s="888">
        <f t="shared" si="27"/>
        <v>1</v>
      </c>
      <c r="AD139" s="891"/>
      <c r="AE139" s="1481"/>
      <c r="AF139" s="888">
        <f t="shared" si="42"/>
        <v>0</v>
      </c>
      <c r="AG139" s="890"/>
      <c r="AH139" s="1512"/>
      <c r="AI139" s="888">
        <f t="shared" si="43"/>
        <v>0</v>
      </c>
      <c r="AJ139" s="891"/>
      <c r="AK139" s="1512"/>
      <c r="AL139" s="888">
        <f t="shared" si="44"/>
        <v>0</v>
      </c>
      <c r="AM139" s="890"/>
      <c r="AN139" s="1506"/>
      <c r="AO139" s="118">
        <f t="shared" si="45"/>
        <v>0</v>
      </c>
      <c r="AP139" s="999">
        <f t="shared" si="40"/>
        <v>554324553.07712007</v>
      </c>
      <c r="AQ139" s="18" t="str">
        <f t="shared" si="49"/>
        <v>Bien</v>
      </c>
      <c r="AR139" s="1149" t="s">
        <v>1189</v>
      </c>
    </row>
    <row r="140" spans="1:44" ht="25.5" x14ac:dyDescent="0.25">
      <c r="A140" s="2048"/>
      <c r="B140" s="1509"/>
      <c r="C140" s="1771"/>
      <c r="D140" s="1771"/>
      <c r="E140" s="1515"/>
      <c r="F140" s="1522"/>
      <c r="G140" s="1522"/>
      <c r="H140" s="1289"/>
      <c r="I140" s="1526"/>
      <c r="J140" s="1518"/>
      <c r="K140" s="878" t="s">
        <v>829</v>
      </c>
      <c r="L140" s="879" t="s">
        <v>830</v>
      </c>
      <c r="M140" s="905">
        <v>9</v>
      </c>
      <c r="N140" s="905">
        <v>15</v>
      </c>
      <c r="O140" s="905">
        <v>1</v>
      </c>
      <c r="P140" s="768">
        <v>5</v>
      </c>
      <c r="Q140" s="768">
        <v>5</v>
      </c>
      <c r="R140" s="768">
        <v>4</v>
      </c>
      <c r="S140" s="883"/>
      <c r="T140" s="903">
        <f t="shared" si="48"/>
        <v>15</v>
      </c>
      <c r="U140" s="909">
        <v>256715960</v>
      </c>
      <c r="V140" s="910">
        <v>264417438.80000001</v>
      </c>
      <c r="W140" s="910">
        <v>272349961.96399999</v>
      </c>
      <c r="X140" s="910">
        <v>280520460.82291996</v>
      </c>
      <c r="Y140" s="886">
        <f t="shared" si="38"/>
        <v>1074003821.5869198</v>
      </c>
      <c r="Z140" s="1512"/>
      <c r="AA140" s="887">
        <v>1074003821.5869198</v>
      </c>
      <c r="AB140" s="1481"/>
      <c r="AC140" s="888">
        <f t="shared" si="27"/>
        <v>1</v>
      </c>
      <c r="AD140" s="891"/>
      <c r="AE140" s="1481"/>
      <c r="AF140" s="888">
        <f t="shared" si="42"/>
        <v>0</v>
      </c>
      <c r="AG140" s="890"/>
      <c r="AH140" s="1512"/>
      <c r="AI140" s="888">
        <f t="shared" si="43"/>
        <v>0</v>
      </c>
      <c r="AJ140" s="891"/>
      <c r="AK140" s="1512"/>
      <c r="AL140" s="888">
        <f t="shared" si="44"/>
        <v>0</v>
      </c>
      <c r="AM140" s="890"/>
      <c r="AN140" s="1506"/>
      <c r="AO140" s="118">
        <f t="shared" si="45"/>
        <v>0</v>
      </c>
      <c r="AP140" s="999">
        <f t="shared" si="40"/>
        <v>1074003821.5869198</v>
      </c>
      <c r="AQ140" s="18" t="str">
        <f t="shared" si="49"/>
        <v>Bien</v>
      </c>
      <c r="AR140" s="1149" t="s">
        <v>1189</v>
      </c>
    </row>
    <row r="141" spans="1:44" ht="31.5" customHeight="1" x14ac:dyDescent="0.25">
      <c r="A141" s="2048"/>
      <c r="B141" s="1509"/>
      <c r="C141" s="1771"/>
      <c r="D141" s="1771"/>
      <c r="E141" s="1516"/>
      <c r="F141" s="1523"/>
      <c r="G141" s="1523"/>
      <c r="H141" s="1290"/>
      <c r="I141" s="1527"/>
      <c r="J141" s="1518"/>
      <c r="K141" s="878" t="s">
        <v>232</v>
      </c>
      <c r="L141" s="878" t="s">
        <v>39</v>
      </c>
      <c r="M141" s="982">
        <v>0.7</v>
      </c>
      <c r="N141" s="982">
        <v>1</v>
      </c>
      <c r="O141" s="905">
        <v>0.1</v>
      </c>
      <c r="P141" s="768">
        <v>0.3</v>
      </c>
      <c r="Q141" s="768">
        <v>0.3</v>
      </c>
      <c r="R141" s="768">
        <v>0.3</v>
      </c>
      <c r="S141" s="883"/>
      <c r="T141" s="903">
        <f t="shared" si="48"/>
        <v>1</v>
      </c>
      <c r="U141" s="911">
        <v>147319350</v>
      </c>
      <c r="V141" s="912">
        <v>161738870.5</v>
      </c>
      <c r="W141" s="912">
        <v>166658860</v>
      </c>
      <c r="X141" s="912">
        <v>164977402</v>
      </c>
      <c r="Y141" s="886">
        <f t="shared" si="38"/>
        <v>640694482.5</v>
      </c>
      <c r="Z141" s="1513"/>
      <c r="AA141" s="887">
        <v>640694482.5</v>
      </c>
      <c r="AB141" s="1477"/>
      <c r="AC141" s="888">
        <f t="shared" si="27"/>
        <v>1</v>
      </c>
      <c r="AD141" s="891"/>
      <c r="AE141" s="1477"/>
      <c r="AF141" s="888">
        <f t="shared" si="42"/>
        <v>0</v>
      </c>
      <c r="AG141" s="890"/>
      <c r="AH141" s="1513"/>
      <c r="AI141" s="888">
        <f t="shared" si="43"/>
        <v>0</v>
      </c>
      <c r="AJ141" s="891"/>
      <c r="AK141" s="1513"/>
      <c r="AL141" s="888">
        <f t="shared" si="44"/>
        <v>0</v>
      </c>
      <c r="AM141" s="890"/>
      <c r="AN141" s="1507"/>
      <c r="AO141" s="118">
        <f t="shared" si="45"/>
        <v>0</v>
      </c>
      <c r="AP141" s="999">
        <f t="shared" si="40"/>
        <v>640694482.5</v>
      </c>
      <c r="AQ141" s="18" t="str">
        <f t="shared" si="49"/>
        <v>Bien</v>
      </c>
      <c r="AR141" s="1149" t="s">
        <v>1189</v>
      </c>
    </row>
    <row r="142" spans="1:44" ht="70.5" customHeight="1" thickBot="1" x14ac:dyDescent="0.3">
      <c r="A142" s="2048"/>
      <c r="B142" s="1510"/>
      <c r="C142" s="1123">
        <v>3302</v>
      </c>
      <c r="D142" s="1123" t="s">
        <v>1087</v>
      </c>
      <c r="E142" s="1114" t="s">
        <v>233</v>
      </c>
      <c r="F142" s="1164" t="s">
        <v>234</v>
      </c>
      <c r="G142" s="1164" t="s">
        <v>1261</v>
      </c>
      <c r="H142" s="1164">
        <v>3</v>
      </c>
      <c r="I142" s="1164">
        <v>5</v>
      </c>
      <c r="J142" s="878" t="s">
        <v>235</v>
      </c>
      <c r="K142" s="878" t="s">
        <v>236</v>
      </c>
      <c r="L142" s="892" t="s">
        <v>1262</v>
      </c>
      <c r="M142" s="892">
        <v>1</v>
      </c>
      <c r="N142" s="892">
        <v>5</v>
      </c>
      <c r="O142" s="914">
        <v>0</v>
      </c>
      <c r="P142" s="915">
        <v>3</v>
      </c>
      <c r="Q142" s="915">
        <v>3</v>
      </c>
      <c r="R142" s="915">
        <v>5</v>
      </c>
      <c r="S142" s="883"/>
      <c r="T142" s="913">
        <f t="shared" si="48"/>
        <v>11</v>
      </c>
      <c r="U142" s="916">
        <f>90000000+27711421+8000000</f>
        <v>125711421</v>
      </c>
      <c r="V142" s="916">
        <f>92700000+28542764+16000000</f>
        <v>137242764</v>
      </c>
      <c r="W142" s="916">
        <f>95453450+29399047+30000000</f>
        <v>154852497</v>
      </c>
      <c r="X142" s="916">
        <f>98045519+30281018+30000000</f>
        <v>158326537</v>
      </c>
      <c r="Y142" s="886">
        <f t="shared" si="38"/>
        <v>576133219</v>
      </c>
      <c r="Z142" s="917">
        <f>+Y142</f>
        <v>576133219</v>
      </c>
      <c r="AA142" s="885">
        <v>76800000</v>
      </c>
      <c r="AB142" s="1046">
        <f>+AA142</f>
        <v>76800000</v>
      </c>
      <c r="AC142" s="888">
        <f t="shared" ref="AC142:AC199" si="50">+AA142/Y142</f>
        <v>0.13330250273244529</v>
      </c>
      <c r="AD142" s="908">
        <v>376526430</v>
      </c>
      <c r="AE142" s="1046">
        <f>+AD142</f>
        <v>376526430</v>
      </c>
      <c r="AF142" s="888">
        <f t="shared" si="42"/>
        <v>0.65354056593636545</v>
      </c>
      <c r="AG142" s="918"/>
      <c r="AH142" s="917">
        <f>+AG142</f>
        <v>0</v>
      </c>
      <c r="AI142" s="888">
        <f t="shared" si="43"/>
        <v>0</v>
      </c>
      <c r="AJ142" s="908">
        <v>115934249</v>
      </c>
      <c r="AK142" s="917">
        <f>+AJ142</f>
        <v>115934249</v>
      </c>
      <c r="AL142" s="888">
        <f t="shared" si="44"/>
        <v>0.20122819718888663</v>
      </c>
      <c r="AM142" s="918">
        <v>6872540</v>
      </c>
      <c r="AN142" s="119">
        <f>+AM142</f>
        <v>6872540</v>
      </c>
      <c r="AO142" s="118">
        <f t="shared" si="45"/>
        <v>1.1928734142302598E-2</v>
      </c>
      <c r="AP142" s="999">
        <f t="shared" si="40"/>
        <v>576133219</v>
      </c>
      <c r="AQ142" s="18" t="str">
        <f t="shared" si="49"/>
        <v>Bien</v>
      </c>
      <c r="AR142" s="1151" t="s">
        <v>1252</v>
      </c>
    </row>
    <row r="143" spans="1:44" s="288" customFormat="1" ht="30.75" customHeight="1" x14ac:dyDescent="0.25">
      <c r="A143" s="2048"/>
      <c r="B143" s="2014" t="s">
        <v>237</v>
      </c>
      <c r="C143" s="2185">
        <v>4102</v>
      </c>
      <c r="D143" s="2185" t="s">
        <v>1088</v>
      </c>
      <c r="E143" s="1956" t="s">
        <v>875</v>
      </c>
      <c r="F143" s="1958" t="s">
        <v>876</v>
      </c>
      <c r="G143" s="1961" t="s">
        <v>1024</v>
      </c>
      <c r="H143" s="1891" t="s">
        <v>107</v>
      </c>
      <c r="I143" s="1893">
        <v>1</v>
      </c>
      <c r="J143" s="1964" t="s">
        <v>1134</v>
      </c>
      <c r="K143" s="352" t="s">
        <v>877</v>
      </c>
      <c r="L143" s="353" t="s">
        <v>878</v>
      </c>
      <c r="M143" s="354">
        <v>0.3</v>
      </c>
      <c r="N143" s="354">
        <v>1</v>
      </c>
      <c r="O143" s="355">
        <v>0</v>
      </c>
      <c r="P143" s="356">
        <v>1</v>
      </c>
      <c r="Q143" s="357">
        <v>0</v>
      </c>
      <c r="R143" s="357">
        <v>0</v>
      </c>
      <c r="S143" s="358"/>
      <c r="T143" s="359">
        <f t="shared" ref="T143:T156" si="51">+SUM(O143:R143)</f>
        <v>1</v>
      </c>
      <c r="U143" s="360">
        <v>0</v>
      </c>
      <c r="V143" s="361">
        <v>25000000</v>
      </c>
      <c r="W143" s="361">
        <v>0</v>
      </c>
      <c r="X143" s="361">
        <v>0</v>
      </c>
      <c r="Y143" s="362">
        <f>SUM(U143:X143)</f>
        <v>25000000</v>
      </c>
      <c r="Z143" s="1938">
        <f>+SUM(Y143:Y150)</f>
        <v>2195104505</v>
      </c>
      <c r="AA143" s="362">
        <v>25000000</v>
      </c>
      <c r="AB143" s="1965">
        <f>+SUM(AA143:AA150)</f>
        <v>1841682683</v>
      </c>
      <c r="AC143" s="363"/>
      <c r="AD143" s="364">
        <v>0</v>
      </c>
      <c r="AE143" s="1965">
        <f>+SUM(AD143:AD150)</f>
        <v>353421822</v>
      </c>
      <c r="AF143" s="363">
        <f t="shared" si="42"/>
        <v>0</v>
      </c>
      <c r="AG143" s="364"/>
      <c r="AH143" s="1938">
        <f>+SUM(AG143:AG150)</f>
        <v>0</v>
      </c>
      <c r="AI143" s="363">
        <f t="shared" si="43"/>
        <v>0</v>
      </c>
      <c r="AJ143" s="364"/>
      <c r="AK143" s="1938">
        <f>+SUM(AJ143:AJ150)</f>
        <v>0</v>
      </c>
      <c r="AL143" s="363">
        <f t="shared" si="44"/>
        <v>0</v>
      </c>
      <c r="AM143" s="364"/>
      <c r="AN143" s="1938">
        <f>+SUM(AM143:AM150)</f>
        <v>0</v>
      </c>
      <c r="AO143" s="341">
        <f t="shared" si="45"/>
        <v>0</v>
      </c>
      <c r="AP143" s="1000">
        <f t="shared" si="40"/>
        <v>25000000</v>
      </c>
      <c r="AQ143" s="287" t="str">
        <f t="shared" si="49"/>
        <v>Bien</v>
      </c>
      <c r="AR143" s="288" t="s">
        <v>1193</v>
      </c>
    </row>
    <row r="144" spans="1:44" s="288" customFormat="1" ht="75.75" customHeight="1" x14ac:dyDescent="0.25">
      <c r="A144" s="2048"/>
      <c r="B144" s="2015"/>
      <c r="C144" s="2185"/>
      <c r="D144" s="2185"/>
      <c r="E144" s="1957"/>
      <c r="F144" s="1959"/>
      <c r="G144" s="1962"/>
      <c r="H144" s="1892"/>
      <c r="I144" s="1894"/>
      <c r="J144" s="1890"/>
      <c r="K144" s="352" t="s">
        <v>879</v>
      </c>
      <c r="L144" s="365" t="s">
        <v>39</v>
      </c>
      <c r="M144" s="366" t="s">
        <v>107</v>
      </c>
      <c r="N144" s="354">
        <v>1</v>
      </c>
      <c r="O144" s="355">
        <v>0.2</v>
      </c>
      <c r="P144" s="357">
        <v>0.3</v>
      </c>
      <c r="Q144" s="357">
        <v>0.3</v>
      </c>
      <c r="R144" s="357">
        <v>0.2</v>
      </c>
      <c r="S144" s="358"/>
      <c r="T144" s="367">
        <f t="shared" si="51"/>
        <v>1</v>
      </c>
      <c r="U144" s="360">
        <v>92750000</v>
      </c>
      <c r="V144" s="361">
        <v>91422522</v>
      </c>
      <c r="W144" s="361">
        <v>91073159</v>
      </c>
      <c r="X144" s="361">
        <v>91073159</v>
      </c>
      <c r="Y144" s="362">
        <f>U144+V144+W144+X144</f>
        <v>366318840</v>
      </c>
      <c r="Z144" s="1939"/>
      <c r="AA144" s="362">
        <v>366318840</v>
      </c>
      <c r="AB144" s="1966"/>
      <c r="AC144" s="363"/>
      <c r="AD144" s="364">
        <v>0</v>
      </c>
      <c r="AE144" s="1966"/>
      <c r="AF144" s="363">
        <f t="shared" si="42"/>
        <v>0</v>
      </c>
      <c r="AG144" s="364"/>
      <c r="AH144" s="1939"/>
      <c r="AI144" s="363">
        <f t="shared" si="43"/>
        <v>0</v>
      </c>
      <c r="AJ144" s="364"/>
      <c r="AK144" s="1939"/>
      <c r="AL144" s="363">
        <f t="shared" si="44"/>
        <v>0</v>
      </c>
      <c r="AM144" s="364"/>
      <c r="AN144" s="1939"/>
      <c r="AO144" s="341">
        <f t="shared" si="45"/>
        <v>0</v>
      </c>
      <c r="AP144" s="1000">
        <f t="shared" si="40"/>
        <v>366318840</v>
      </c>
      <c r="AQ144" s="287" t="str">
        <f t="shared" si="49"/>
        <v>Bien</v>
      </c>
      <c r="AR144" s="1152" t="s">
        <v>1194</v>
      </c>
    </row>
    <row r="145" spans="1:44" s="288" customFormat="1" ht="54" customHeight="1" x14ac:dyDescent="0.25">
      <c r="A145" s="2048"/>
      <c r="B145" s="2015"/>
      <c r="C145" s="2185"/>
      <c r="D145" s="2185"/>
      <c r="E145" s="1957"/>
      <c r="F145" s="1960"/>
      <c r="G145" s="1963"/>
      <c r="H145" s="1948"/>
      <c r="I145" s="1949"/>
      <c r="J145" s="1942"/>
      <c r="K145" s="368" t="s">
        <v>611</v>
      </c>
      <c r="L145" s="365" t="s">
        <v>39</v>
      </c>
      <c r="M145" s="366" t="s">
        <v>107</v>
      </c>
      <c r="N145" s="354">
        <v>1</v>
      </c>
      <c r="O145" s="355">
        <v>0.2</v>
      </c>
      <c r="P145" s="357">
        <v>0.3</v>
      </c>
      <c r="Q145" s="357">
        <v>0.3</v>
      </c>
      <c r="R145" s="357">
        <v>0.2</v>
      </c>
      <c r="S145" s="358"/>
      <c r="T145" s="367">
        <f t="shared" si="51"/>
        <v>1</v>
      </c>
      <c r="U145" s="360">
        <f>31937500</f>
        <v>31937500</v>
      </c>
      <c r="V145" s="361">
        <v>30610022</v>
      </c>
      <c r="W145" s="361">
        <v>30260659</v>
      </c>
      <c r="X145" s="361">
        <v>30260659</v>
      </c>
      <c r="Y145" s="362">
        <f>U145+V145+W145+X145</f>
        <v>123068840</v>
      </c>
      <c r="Z145" s="1939"/>
      <c r="AA145" s="362">
        <v>123068840</v>
      </c>
      <c r="AB145" s="1966"/>
      <c r="AC145" s="363"/>
      <c r="AD145" s="362">
        <v>0</v>
      </c>
      <c r="AE145" s="1966"/>
      <c r="AF145" s="363">
        <f t="shared" si="42"/>
        <v>0</v>
      </c>
      <c r="AG145" s="364"/>
      <c r="AH145" s="1939"/>
      <c r="AI145" s="363">
        <f t="shared" si="43"/>
        <v>0</v>
      </c>
      <c r="AJ145" s="364"/>
      <c r="AK145" s="1939"/>
      <c r="AL145" s="363">
        <f t="shared" si="44"/>
        <v>0</v>
      </c>
      <c r="AM145" s="364"/>
      <c r="AN145" s="1939"/>
      <c r="AO145" s="341">
        <f t="shared" si="45"/>
        <v>0</v>
      </c>
      <c r="AP145" s="1000">
        <f t="shared" si="40"/>
        <v>123068840</v>
      </c>
      <c r="AQ145" s="287" t="str">
        <f t="shared" si="49"/>
        <v>Bien</v>
      </c>
      <c r="AR145" s="1152" t="s">
        <v>1194</v>
      </c>
    </row>
    <row r="146" spans="1:44" s="288" customFormat="1" ht="67.5" customHeight="1" x14ac:dyDescent="0.25">
      <c r="A146" s="2048"/>
      <c r="B146" s="2015"/>
      <c r="C146" s="2185"/>
      <c r="D146" s="2185"/>
      <c r="E146" s="1957"/>
      <c r="F146" s="369" t="s">
        <v>880</v>
      </c>
      <c r="G146" s="370" t="s">
        <v>238</v>
      </c>
      <c r="H146" s="371" t="s">
        <v>239</v>
      </c>
      <c r="I146" s="372" t="s">
        <v>240</v>
      </c>
      <c r="J146" s="1941" t="s">
        <v>881</v>
      </c>
      <c r="K146" s="368" t="s">
        <v>241</v>
      </c>
      <c r="L146" s="365" t="s">
        <v>612</v>
      </c>
      <c r="M146" s="366" t="s">
        <v>107</v>
      </c>
      <c r="N146" s="354">
        <v>1</v>
      </c>
      <c r="O146" s="355">
        <v>0.1</v>
      </c>
      <c r="P146" s="357">
        <v>0.2</v>
      </c>
      <c r="Q146" s="357">
        <v>0.3</v>
      </c>
      <c r="R146" s="357">
        <v>0.4</v>
      </c>
      <c r="S146" s="358"/>
      <c r="T146" s="367">
        <f t="shared" si="51"/>
        <v>1</v>
      </c>
      <c r="U146" s="360">
        <f>54750000</f>
        <v>54750000</v>
      </c>
      <c r="V146" s="361">
        <v>48266272</v>
      </c>
      <c r="W146" s="361">
        <v>61599605</v>
      </c>
      <c r="X146" s="361">
        <v>67599605</v>
      </c>
      <c r="Y146" s="362">
        <f>SUM(U146:X146)</f>
        <v>232215482</v>
      </c>
      <c r="Z146" s="1939"/>
      <c r="AA146" s="362">
        <v>232215482</v>
      </c>
      <c r="AB146" s="1966"/>
      <c r="AC146" s="363"/>
      <c r="AD146" s="362">
        <v>0</v>
      </c>
      <c r="AE146" s="1966"/>
      <c r="AF146" s="363">
        <f t="shared" si="42"/>
        <v>0</v>
      </c>
      <c r="AG146" s="364"/>
      <c r="AH146" s="1939"/>
      <c r="AI146" s="363">
        <f t="shared" si="43"/>
        <v>0</v>
      </c>
      <c r="AJ146" s="364"/>
      <c r="AK146" s="1939"/>
      <c r="AL146" s="363">
        <f t="shared" si="44"/>
        <v>0</v>
      </c>
      <c r="AM146" s="364"/>
      <c r="AN146" s="1939"/>
      <c r="AO146" s="341">
        <f t="shared" si="45"/>
        <v>0</v>
      </c>
      <c r="AP146" s="1000">
        <f t="shared" si="40"/>
        <v>232215482</v>
      </c>
      <c r="AQ146" s="287" t="str">
        <f t="shared" si="49"/>
        <v>Bien</v>
      </c>
      <c r="AR146" s="1160" t="s">
        <v>1253</v>
      </c>
    </row>
    <row r="147" spans="1:44" s="288" customFormat="1" ht="60" customHeight="1" x14ac:dyDescent="0.25">
      <c r="A147" s="2048"/>
      <c r="B147" s="2015"/>
      <c r="C147" s="2185"/>
      <c r="D147" s="2185"/>
      <c r="E147" s="1957"/>
      <c r="F147" s="369" t="s">
        <v>882</v>
      </c>
      <c r="G147" s="353" t="s">
        <v>1025</v>
      </c>
      <c r="H147" s="366" t="s">
        <v>107</v>
      </c>
      <c r="I147" s="373">
        <v>1</v>
      </c>
      <c r="J147" s="1890"/>
      <c r="K147" s="368" t="s">
        <v>613</v>
      </c>
      <c r="L147" s="365" t="s">
        <v>614</v>
      </c>
      <c r="M147" s="365">
        <v>1</v>
      </c>
      <c r="N147" s="374">
        <v>10</v>
      </c>
      <c r="O147" s="375">
        <v>1</v>
      </c>
      <c r="P147" s="357">
        <v>3</v>
      </c>
      <c r="Q147" s="357">
        <v>3</v>
      </c>
      <c r="R147" s="357">
        <v>3</v>
      </c>
      <c r="S147" s="358"/>
      <c r="T147" s="376">
        <f t="shared" si="51"/>
        <v>10</v>
      </c>
      <c r="U147" s="360">
        <v>30000000</v>
      </c>
      <c r="V147" s="361">
        <v>32641272</v>
      </c>
      <c r="W147" s="361">
        <v>37448159</v>
      </c>
      <c r="X147" s="361">
        <v>39450816</v>
      </c>
      <c r="Y147" s="362">
        <f>SUM(U147:X147)</f>
        <v>139540247</v>
      </c>
      <c r="Z147" s="1939"/>
      <c r="AA147" s="362">
        <v>139540247</v>
      </c>
      <c r="AB147" s="1966"/>
      <c r="AC147" s="363"/>
      <c r="AD147" s="362">
        <v>0</v>
      </c>
      <c r="AE147" s="1966"/>
      <c r="AF147" s="363">
        <f t="shared" si="42"/>
        <v>0</v>
      </c>
      <c r="AG147" s="364"/>
      <c r="AH147" s="1939"/>
      <c r="AI147" s="363">
        <f t="shared" si="43"/>
        <v>0</v>
      </c>
      <c r="AJ147" s="364"/>
      <c r="AK147" s="1939"/>
      <c r="AL147" s="363">
        <f t="shared" si="44"/>
        <v>0</v>
      </c>
      <c r="AM147" s="364"/>
      <c r="AN147" s="1939"/>
      <c r="AO147" s="341">
        <f t="shared" si="45"/>
        <v>0</v>
      </c>
      <c r="AP147" s="1000">
        <f t="shared" si="40"/>
        <v>139540247</v>
      </c>
      <c r="AQ147" s="287" t="str">
        <f t="shared" si="49"/>
        <v>Bien</v>
      </c>
      <c r="AR147" s="1152" t="s">
        <v>1195</v>
      </c>
    </row>
    <row r="148" spans="1:44" s="288" customFormat="1" ht="53.25" customHeight="1" x14ac:dyDescent="0.25">
      <c r="A148" s="2048"/>
      <c r="B148" s="2015"/>
      <c r="C148" s="2185"/>
      <c r="D148" s="2185"/>
      <c r="E148" s="1957"/>
      <c r="F148" s="1943" t="s">
        <v>883</v>
      </c>
      <c r="G148" s="1889" t="s">
        <v>884</v>
      </c>
      <c r="H148" s="1891" t="s">
        <v>107</v>
      </c>
      <c r="I148" s="1893">
        <v>1</v>
      </c>
      <c r="J148" s="1890"/>
      <c r="K148" s="352" t="s">
        <v>885</v>
      </c>
      <c r="L148" s="365" t="s">
        <v>39</v>
      </c>
      <c r="M148" s="366" t="s">
        <v>107</v>
      </c>
      <c r="N148" s="354">
        <v>1</v>
      </c>
      <c r="O148" s="355">
        <v>0.2</v>
      </c>
      <c r="P148" s="357">
        <v>0.2</v>
      </c>
      <c r="Q148" s="357">
        <v>0.3</v>
      </c>
      <c r="R148" s="357">
        <v>0.3</v>
      </c>
      <c r="S148" s="358"/>
      <c r="T148" s="367">
        <f t="shared" si="51"/>
        <v>1</v>
      </c>
      <c r="U148" s="360">
        <v>176805000</v>
      </c>
      <c r="V148" s="361">
        <v>174103411</v>
      </c>
      <c r="W148" s="361">
        <v>183585669</v>
      </c>
      <c r="X148" s="361">
        <v>186932656</v>
      </c>
      <c r="Y148" s="362">
        <f>SUM(U148:X148)</f>
        <v>721426736</v>
      </c>
      <c r="Z148" s="1939"/>
      <c r="AA148" s="362">
        <v>473670573</v>
      </c>
      <c r="AB148" s="1966"/>
      <c r="AC148" s="363"/>
      <c r="AD148" s="362">
        <v>247756163</v>
      </c>
      <c r="AE148" s="1966"/>
      <c r="AF148" s="363">
        <f t="shared" si="42"/>
        <v>0.34342525808469621</v>
      </c>
      <c r="AG148" s="364"/>
      <c r="AH148" s="1939"/>
      <c r="AI148" s="363">
        <f t="shared" si="43"/>
        <v>0</v>
      </c>
      <c r="AJ148" s="364"/>
      <c r="AK148" s="1939"/>
      <c r="AL148" s="363">
        <f t="shared" si="44"/>
        <v>0</v>
      </c>
      <c r="AM148" s="364"/>
      <c r="AN148" s="1939"/>
      <c r="AO148" s="341">
        <f t="shared" si="45"/>
        <v>0</v>
      </c>
      <c r="AP148" s="1000">
        <f t="shared" si="40"/>
        <v>721426736</v>
      </c>
      <c r="AQ148" s="287" t="str">
        <f t="shared" si="49"/>
        <v>Bien</v>
      </c>
      <c r="AR148" s="1152" t="s">
        <v>1195</v>
      </c>
    </row>
    <row r="149" spans="1:44" s="288" customFormat="1" ht="57.75" customHeight="1" x14ac:dyDescent="0.25">
      <c r="A149" s="2048"/>
      <c r="B149" s="2015"/>
      <c r="C149" s="2185"/>
      <c r="D149" s="2185"/>
      <c r="E149" s="1957"/>
      <c r="F149" s="1944"/>
      <c r="G149" s="1946"/>
      <c r="H149" s="1892"/>
      <c r="I149" s="1894"/>
      <c r="J149" s="1890"/>
      <c r="K149" s="368" t="s">
        <v>615</v>
      </c>
      <c r="L149" s="365" t="s">
        <v>39</v>
      </c>
      <c r="M149" s="366" t="s">
        <v>107</v>
      </c>
      <c r="N149" s="354">
        <v>1</v>
      </c>
      <c r="O149" s="355">
        <v>0.15</v>
      </c>
      <c r="P149" s="357">
        <v>0.25</v>
      </c>
      <c r="Q149" s="357">
        <v>0.3</v>
      </c>
      <c r="R149" s="357">
        <v>0.3</v>
      </c>
      <c r="S149" s="358"/>
      <c r="T149" s="367">
        <f t="shared" si="51"/>
        <v>1</v>
      </c>
      <c r="U149" s="360">
        <v>31937500</v>
      </c>
      <c r="V149" s="361">
        <v>30610022</v>
      </c>
      <c r="W149" s="361">
        <v>38787105</v>
      </c>
      <c r="X149" s="361">
        <v>40789762</v>
      </c>
      <c r="Y149" s="362">
        <f>SUM(U149:X149)</f>
        <v>142124389</v>
      </c>
      <c r="Z149" s="1939"/>
      <c r="AA149" s="362">
        <v>142124389</v>
      </c>
      <c r="AB149" s="1966"/>
      <c r="AC149" s="363"/>
      <c r="AD149" s="362">
        <v>0</v>
      </c>
      <c r="AE149" s="1966"/>
      <c r="AF149" s="363">
        <f t="shared" si="42"/>
        <v>0</v>
      </c>
      <c r="AG149" s="364"/>
      <c r="AH149" s="1939"/>
      <c r="AI149" s="363">
        <f t="shared" si="43"/>
        <v>0</v>
      </c>
      <c r="AJ149" s="364"/>
      <c r="AK149" s="1939"/>
      <c r="AL149" s="363">
        <f t="shared" si="44"/>
        <v>0</v>
      </c>
      <c r="AM149" s="364"/>
      <c r="AN149" s="1939"/>
      <c r="AO149" s="341">
        <f t="shared" si="45"/>
        <v>0</v>
      </c>
      <c r="AP149" s="1000">
        <f t="shared" si="40"/>
        <v>142124389</v>
      </c>
      <c r="AQ149" s="287" t="str">
        <f t="shared" si="49"/>
        <v>Bien</v>
      </c>
      <c r="AR149" s="1152" t="s">
        <v>1195</v>
      </c>
    </row>
    <row r="150" spans="1:44" s="288" customFormat="1" ht="74.25" customHeight="1" x14ac:dyDescent="0.25">
      <c r="A150" s="2048"/>
      <c r="B150" s="2015"/>
      <c r="C150" s="2185"/>
      <c r="D150" s="2185"/>
      <c r="E150" s="1957"/>
      <c r="F150" s="1945"/>
      <c r="G150" s="1947"/>
      <c r="H150" s="1948"/>
      <c r="I150" s="1949"/>
      <c r="J150" s="1942"/>
      <c r="K150" s="368" t="s">
        <v>243</v>
      </c>
      <c r="L150" s="365" t="s">
        <v>211</v>
      </c>
      <c r="M150" s="366">
        <v>20</v>
      </c>
      <c r="N150" s="377">
        <v>100</v>
      </c>
      <c r="O150" s="355">
        <v>25</v>
      </c>
      <c r="P150" s="357">
        <v>25</v>
      </c>
      <c r="Q150" s="357">
        <v>25</v>
      </c>
      <c r="R150" s="357">
        <v>25</v>
      </c>
      <c r="S150" s="358"/>
      <c r="T150" s="376">
        <f t="shared" si="51"/>
        <v>100</v>
      </c>
      <c r="U150" s="378">
        <v>106509344</v>
      </c>
      <c r="V150" s="362">
        <v>107776505</v>
      </c>
      <c r="W150" s="361">
        <v>113888568</v>
      </c>
      <c r="X150" s="361">
        <v>117235555</v>
      </c>
      <c r="Y150" s="362">
        <v>445409971</v>
      </c>
      <c r="Z150" s="1940"/>
      <c r="AA150" s="362">
        <v>339744312</v>
      </c>
      <c r="AB150" s="1967"/>
      <c r="AC150" s="363"/>
      <c r="AD150" s="362">
        <v>105665659</v>
      </c>
      <c r="AE150" s="1967"/>
      <c r="AF150" s="363">
        <f t="shared" si="42"/>
        <v>0.23723236092530134</v>
      </c>
      <c r="AG150" s="364"/>
      <c r="AH150" s="1940"/>
      <c r="AI150" s="363">
        <f t="shared" si="43"/>
        <v>0</v>
      </c>
      <c r="AJ150" s="364"/>
      <c r="AK150" s="1940"/>
      <c r="AL150" s="363">
        <f t="shared" si="44"/>
        <v>0</v>
      </c>
      <c r="AM150" s="364"/>
      <c r="AN150" s="1940"/>
      <c r="AO150" s="341">
        <f t="shared" si="45"/>
        <v>0</v>
      </c>
      <c r="AP150" s="1000">
        <f t="shared" si="40"/>
        <v>445409971</v>
      </c>
      <c r="AQ150" s="287" t="str">
        <f t="shared" si="49"/>
        <v>Bien</v>
      </c>
      <c r="AR150" s="1152" t="s">
        <v>1195</v>
      </c>
    </row>
    <row r="151" spans="1:44" s="288" customFormat="1" ht="30" customHeight="1" x14ac:dyDescent="0.25">
      <c r="A151" s="2048"/>
      <c r="B151" s="2015"/>
      <c r="C151" s="2185"/>
      <c r="D151" s="2185"/>
      <c r="E151" s="1950" t="s">
        <v>244</v>
      </c>
      <c r="F151" s="1952" t="s">
        <v>886</v>
      </c>
      <c r="G151" s="1889" t="s">
        <v>1026</v>
      </c>
      <c r="H151" s="1891" t="s">
        <v>107</v>
      </c>
      <c r="I151" s="1893">
        <v>1</v>
      </c>
      <c r="J151" s="1895" t="s">
        <v>245</v>
      </c>
      <c r="K151" s="379" t="s">
        <v>887</v>
      </c>
      <c r="L151" s="353" t="s">
        <v>347</v>
      </c>
      <c r="M151" s="363" t="s">
        <v>107</v>
      </c>
      <c r="N151" s="363">
        <v>1</v>
      </c>
      <c r="O151" s="380">
        <v>0</v>
      </c>
      <c r="P151" s="381">
        <v>1</v>
      </c>
      <c r="Q151" s="381">
        <v>0</v>
      </c>
      <c r="R151" s="381">
        <v>0</v>
      </c>
      <c r="S151" s="358"/>
      <c r="T151" s="367">
        <f t="shared" si="51"/>
        <v>1</v>
      </c>
      <c r="U151" s="382">
        <v>0</v>
      </c>
      <c r="V151" s="382">
        <v>40000000</v>
      </c>
      <c r="W151" s="382">
        <v>0</v>
      </c>
      <c r="X151" s="382">
        <v>0</v>
      </c>
      <c r="Y151" s="382">
        <f>+U151+V151+W151+X151</f>
        <v>40000000</v>
      </c>
      <c r="Z151" s="1954">
        <f>+SUM(Y151:Y153)</f>
        <v>391544127</v>
      </c>
      <c r="AA151" s="382"/>
      <c r="AB151" s="1955">
        <f>+SUM(AA151:AA153)</f>
        <v>104590675</v>
      </c>
      <c r="AC151" s="383">
        <f t="shared" ref="AC151:AC156" si="52">+AA151/Y151</f>
        <v>0</v>
      </c>
      <c r="AD151" s="382">
        <v>25000000</v>
      </c>
      <c r="AE151" s="1955">
        <f>+SUM(AD151:AD153)</f>
        <v>271953452</v>
      </c>
      <c r="AF151" s="383">
        <f t="shared" si="42"/>
        <v>0.625</v>
      </c>
      <c r="AG151" s="384"/>
      <c r="AH151" s="1954">
        <f>+SUM(AG151:AG153)</f>
        <v>0</v>
      </c>
      <c r="AI151" s="383">
        <f t="shared" si="43"/>
        <v>0</v>
      </c>
      <c r="AJ151" s="384"/>
      <c r="AK151" s="1954">
        <f>+SUM(AJ151:AJ153)</f>
        <v>0</v>
      </c>
      <c r="AL151" s="383">
        <f t="shared" si="44"/>
        <v>0</v>
      </c>
      <c r="AM151" s="384">
        <v>15000000</v>
      </c>
      <c r="AN151" s="1954">
        <f>+SUM(AM151:AM153)</f>
        <v>15000000</v>
      </c>
      <c r="AO151" s="342">
        <f t="shared" si="45"/>
        <v>0.375</v>
      </c>
      <c r="AP151" s="1000">
        <f t="shared" si="40"/>
        <v>40000000</v>
      </c>
      <c r="AQ151" s="287" t="str">
        <f t="shared" si="49"/>
        <v>Bien</v>
      </c>
      <c r="AR151" s="1152" t="s">
        <v>1193</v>
      </c>
    </row>
    <row r="152" spans="1:44" s="288" customFormat="1" ht="54" customHeight="1" x14ac:dyDescent="0.25">
      <c r="A152" s="2048"/>
      <c r="B152" s="2015"/>
      <c r="C152" s="2185"/>
      <c r="D152" s="2185"/>
      <c r="E152" s="1951"/>
      <c r="F152" s="1953"/>
      <c r="G152" s="1890"/>
      <c r="H152" s="1892"/>
      <c r="I152" s="1894"/>
      <c r="J152" s="1892"/>
      <c r="K152" s="368" t="s">
        <v>888</v>
      </c>
      <c r="L152" s="365" t="s">
        <v>39</v>
      </c>
      <c r="M152" s="366" t="s">
        <v>107</v>
      </c>
      <c r="N152" s="354">
        <v>1</v>
      </c>
      <c r="O152" s="355">
        <v>0.25</v>
      </c>
      <c r="P152" s="357">
        <v>0.25</v>
      </c>
      <c r="Q152" s="357">
        <v>0.25</v>
      </c>
      <c r="R152" s="357">
        <v>0.25</v>
      </c>
      <c r="S152" s="358"/>
      <c r="T152" s="367">
        <f t="shared" si="51"/>
        <v>1</v>
      </c>
      <c r="U152" s="362">
        <v>55000000</v>
      </c>
      <c r="V152" s="362">
        <v>50750000</v>
      </c>
      <c r="W152" s="362">
        <v>78022500</v>
      </c>
      <c r="X152" s="362">
        <v>79887064</v>
      </c>
      <c r="Y152" s="362">
        <f>+U152+V152+W152+X152</f>
        <v>263659564</v>
      </c>
      <c r="Z152" s="1892"/>
      <c r="AA152" s="362">
        <v>104590675</v>
      </c>
      <c r="AB152" s="1203"/>
      <c r="AC152" s="363">
        <f t="shared" si="52"/>
        <v>0.3966883408788463</v>
      </c>
      <c r="AD152" s="362">
        <v>159068889</v>
      </c>
      <c r="AE152" s="1203"/>
      <c r="AF152" s="363">
        <f t="shared" si="42"/>
        <v>0.6033116591211537</v>
      </c>
      <c r="AG152" s="364"/>
      <c r="AH152" s="1892"/>
      <c r="AI152" s="363">
        <f t="shared" si="43"/>
        <v>0</v>
      </c>
      <c r="AJ152" s="364"/>
      <c r="AK152" s="1892"/>
      <c r="AL152" s="363">
        <f t="shared" si="44"/>
        <v>0</v>
      </c>
      <c r="AM152" s="364"/>
      <c r="AN152" s="1892"/>
      <c r="AO152" s="341">
        <f t="shared" si="45"/>
        <v>0</v>
      </c>
      <c r="AP152" s="1000">
        <f t="shared" si="40"/>
        <v>263659564</v>
      </c>
      <c r="AQ152" s="287" t="str">
        <f t="shared" si="49"/>
        <v>Bien</v>
      </c>
      <c r="AR152" s="1152" t="s">
        <v>1196</v>
      </c>
    </row>
    <row r="153" spans="1:44" s="288" customFormat="1" ht="45" customHeight="1" x14ac:dyDescent="0.25">
      <c r="A153" s="2048"/>
      <c r="B153" s="2015"/>
      <c r="C153" s="2185"/>
      <c r="D153" s="2185"/>
      <c r="E153" s="1951"/>
      <c r="F153" s="1953"/>
      <c r="G153" s="1942"/>
      <c r="H153" s="1948"/>
      <c r="I153" s="1949"/>
      <c r="J153" s="1948"/>
      <c r="K153" s="352" t="s">
        <v>889</v>
      </c>
      <c r="L153" s="353" t="s">
        <v>39</v>
      </c>
      <c r="M153" s="366" t="s">
        <v>107</v>
      </c>
      <c r="N153" s="354">
        <v>1</v>
      </c>
      <c r="O153" s="380">
        <v>0.52</v>
      </c>
      <c r="P153" s="381">
        <v>0.16</v>
      </c>
      <c r="Q153" s="381">
        <v>0.16</v>
      </c>
      <c r="R153" s="381">
        <v>0.16</v>
      </c>
      <c r="S153" s="358"/>
      <c r="T153" s="367">
        <f t="shared" si="51"/>
        <v>1</v>
      </c>
      <c r="U153" s="362">
        <v>35004230</v>
      </c>
      <c r="V153" s="362">
        <v>16954357</v>
      </c>
      <c r="W153" s="362">
        <v>17462988</v>
      </c>
      <c r="X153" s="362">
        <v>18462988</v>
      </c>
      <c r="Y153" s="362">
        <f>+U153+V153+W153+X153</f>
        <v>87884563</v>
      </c>
      <c r="Z153" s="1948"/>
      <c r="AA153" s="362"/>
      <c r="AB153" s="1274"/>
      <c r="AC153" s="363">
        <f t="shared" si="52"/>
        <v>0</v>
      </c>
      <c r="AD153" s="362">
        <f>U153+V153+W153+X153</f>
        <v>87884563</v>
      </c>
      <c r="AE153" s="1274"/>
      <c r="AF153" s="363">
        <f t="shared" si="42"/>
        <v>1</v>
      </c>
      <c r="AG153" s="364"/>
      <c r="AH153" s="1948"/>
      <c r="AI153" s="363">
        <f t="shared" si="43"/>
        <v>0</v>
      </c>
      <c r="AJ153" s="364"/>
      <c r="AK153" s="1948"/>
      <c r="AL153" s="363">
        <f t="shared" si="44"/>
        <v>0</v>
      </c>
      <c r="AM153" s="364"/>
      <c r="AN153" s="1948"/>
      <c r="AO153" s="341">
        <f t="shared" si="45"/>
        <v>0</v>
      </c>
      <c r="AP153" s="1000">
        <f t="shared" si="40"/>
        <v>87884563</v>
      </c>
      <c r="AQ153" s="287" t="str">
        <f t="shared" si="49"/>
        <v>Bien</v>
      </c>
      <c r="AR153" s="1152" t="s">
        <v>1197</v>
      </c>
    </row>
    <row r="154" spans="1:44" s="288" customFormat="1" ht="129" customHeight="1" x14ac:dyDescent="0.25">
      <c r="A154" s="2048"/>
      <c r="B154" s="2015"/>
      <c r="C154" s="1124">
        <v>4103</v>
      </c>
      <c r="D154" s="1124" t="s">
        <v>1090</v>
      </c>
      <c r="E154" s="1115" t="s">
        <v>890</v>
      </c>
      <c r="F154" s="369" t="s">
        <v>891</v>
      </c>
      <c r="G154" s="385" t="s">
        <v>892</v>
      </c>
      <c r="H154" s="366" t="s">
        <v>107</v>
      </c>
      <c r="I154" s="373">
        <v>1</v>
      </c>
      <c r="J154" s="352" t="s">
        <v>1135</v>
      </c>
      <c r="K154" s="368" t="s">
        <v>616</v>
      </c>
      <c r="L154" s="365" t="s">
        <v>246</v>
      </c>
      <c r="M154" s="386">
        <v>23000</v>
      </c>
      <c r="N154" s="386">
        <v>23000</v>
      </c>
      <c r="O154" s="355">
        <v>23000</v>
      </c>
      <c r="P154" s="357">
        <v>23000</v>
      </c>
      <c r="Q154" s="357">
        <v>23000</v>
      </c>
      <c r="R154" s="357">
        <v>23000</v>
      </c>
      <c r="S154" s="358"/>
      <c r="T154" s="387">
        <f t="shared" si="51"/>
        <v>92000</v>
      </c>
      <c r="U154" s="362">
        <v>85392084</v>
      </c>
      <c r="V154" s="362">
        <v>87953847</v>
      </c>
      <c r="W154" s="362">
        <v>90592462</v>
      </c>
      <c r="X154" s="362">
        <v>93310236</v>
      </c>
      <c r="Y154" s="362">
        <f>+U154+V154+W154+X154</f>
        <v>357248629</v>
      </c>
      <c r="Z154" s="388">
        <f>+SUM(Y154)</f>
        <v>357248629</v>
      </c>
      <c r="AA154" s="362">
        <v>146426945</v>
      </c>
      <c r="AB154" s="1047">
        <f>+SUM(AA154)</f>
        <v>146426945</v>
      </c>
      <c r="AC154" s="363">
        <f t="shared" si="52"/>
        <v>0.40987405720736858</v>
      </c>
      <c r="AD154" s="362">
        <v>210821684</v>
      </c>
      <c r="AE154" s="1047">
        <f>+SUM(AD154)</f>
        <v>210821684</v>
      </c>
      <c r="AF154" s="363">
        <f t="shared" si="42"/>
        <v>0.59012594279263142</v>
      </c>
      <c r="AG154" s="364"/>
      <c r="AH154" s="388">
        <f>+SUM(AG154)</f>
        <v>0</v>
      </c>
      <c r="AI154" s="363">
        <f t="shared" si="43"/>
        <v>0</v>
      </c>
      <c r="AJ154" s="364"/>
      <c r="AK154" s="388">
        <f>+SUM(AJ154)</f>
        <v>0</v>
      </c>
      <c r="AL154" s="363">
        <f t="shared" si="44"/>
        <v>0</v>
      </c>
      <c r="AM154" s="364"/>
      <c r="AN154" s="388">
        <f>+SUM(AM154)</f>
        <v>0</v>
      </c>
      <c r="AO154" s="341">
        <f t="shared" si="45"/>
        <v>0</v>
      </c>
      <c r="AP154" s="1000">
        <f t="shared" si="40"/>
        <v>357248629</v>
      </c>
      <c r="AQ154" s="287" t="str">
        <f t="shared" si="49"/>
        <v>Bien</v>
      </c>
      <c r="AR154" s="1152" t="s">
        <v>1196</v>
      </c>
    </row>
    <row r="155" spans="1:44" s="288" customFormat="1" ht="72.75" customHeight="1" x14ac:dyDescent="0.25">
      <c r="A155" s="2048"/>
      <c r="B155" s="2015"/>
      <c r="C155" s="2185">
        <v>4104</v>
      </c>
      <c r="D155" s="2185" t="s">
        <v>1089</v>
      </c>
      <c r="E155" s="1887" t="s">
        <v>247</v>
      </c>
      <c r="F155" s="1889" t="s">
        <v>893</v>
      </c>
      <c r="G155" s="1889" t="s">
        <v>1027</v>
      </c>
      <c r="H155" s="1891" t="s">
        <v>107</v>
      </c>
      <c r="I155" s="1893">
        <v>1</v>
      </c>
      <c r="J155" s="1895" t="s">
        <v>248</v>
      </c>
      <c r="K155" s="352" t="s">
        <v>894</v>
      </c>
      <c r="L155" s="365" t="s">
        <v>67</v>
      </c>
      <c r="M155" s="389" t="s">
        <v>107</v>
      </c>
      <c r="N155" s="390">
        <v>1</v>
      </c>
      <c r="O155" s="391">
        <v>0.25</v>
      </c>
      <c r="P155" s="356">
        <v>0.25</v>
      </c>
      <c r="Q155" s="356">
        <v>0.25</v>
      </c>
      <c r="R155" s="381">
        <v>0.25</v>
      </c>
      <c r="S155" s="358"/>
      <c r="T155" s="387">
        <f t="shared" si="51"/>
        <v>1</v>
      </c>
      <c r="U155" s="362">
        <v>39400000</v>
      </c>
      <c r="V155" s="362">
        <v>15450000</v>
      </c>
      <c r="W155" s="362">
        <f>14300000+1000000+600000+10899460+15000000</f>
        <v>41799460</v>
      </c>
      <c r="X155" s="362">
        <f>15776894+1500000+11276550+14500000</f>
        <v>43053444</v>
      </c>
      <c r="Y155" s="362">
        <f>U155+V155+W155+X155</f>
        <v>139702904</v>
      </c>
      <c r="Z155" s="1954">
        <f>+SUM(Y155:Y156)</f>
        <v>184834904</v>
      </c>
      <c r="AA155" s="362">
        <v>62754405</v>
      </c>
      <c r="AB155" s="1955">
        <f>+SUM(AA155:AA156)</f>
        <v>62754405</v>
      </c>
      <c r="AC155" s="363">
        <f t="shared" si="52"/>
        <v>0.44919900161846316</v>
      </c>
      <c r="AD155" s="362">
        <v>76948499</v>
      </c>
      <c r="AE155" s="1955">
        <f>+SUM(AD155:AD156)</f>
        <v>102080499</v>
      </c>
      <c r="AF155" s="363">
        <f t="shared" si="42"/>
        <v>0.55080099838153684</v>
      </c>
      <c r="AG155" s="364"/>
      <c r="AH155" s="1954">
        <f>+SUM(AG155:AG156)</f>
        <v>0</v>
      </c>
      <c r="AI155" s="363">
        <f t="shared" si="43"/>
        <v>0</v>
      </c>
      <c r="AJ155" s="364"/>
      <c r="AK155" s="1954">
        <f>+SUM(AJ155:AJ156)</f>
        <v>0</v>
      </c>
      <c r="AL155" s="363">
        <f t="shared" si="44"/>
        <v>0</v>
      </c>
      <c r="AM155" s="364"/>
      <c r="AN155" s="1954">
        <f>+SUM(AM155:AM156)</f>
        <v>20000000</v>
      </c>
      <c r="AO155" s="341">
        <f t="shared" si="45"/>
        <v>0</v>
      </c>
      <c r="AP155" s="1000">
        <f t="shared" si="40"/>
        <v>139702904</v>
      </c>
      <c r="AQ155" s="287" t="str">
        <f t="shared" si="49"/>
        <v>Bien</v>
      </c>
      <c r="AR155" s="1152" t="s">
        <v>1196</v>
      </c>
    </row>
    <row r="156" spans="1:44" s="288" customFormat="1" ht="61.5" customHeight="1" x14ac:dyDescent="0.25">
      <c r="A156" s="2048"/>
      <c r="B156" s="2015"/>
      <c r="C156" s="2185"/>
      <c r="D156" s="2185"/>
      <c r="E156" s="1888"/>
      <c r="F156" s="1890"/>
      <c r="G156" s="1890"/>
      <c r="H156" s="1892"/>
      <c r="I156" s="1894"/>
      <c r="J156" s="1892"/>
      <c r="K156" s="379" t="s">
        <v>895</v>
      </c>
      <c r="L156" s="365" t="s">
        <v>347</v>
      </c>
      <c r="M156" s="354">
        <v>0.1</v>
      </c>
      <c r="N156" s="354">
        <v>1</v>
      </c>
      <c r="O156" s="380">
        <v>0</v>
      </c>
      <c r="P156" s="381">
        <v>0.9</v>
      </c>
      <c r="Q156" s="381">
        <v>0</v>
      </c>
      <c r="R156" s="381">
        <f>SUM(O156:Q156,M156)</f>
        <v>1</v>
      </c>
      <c r="S156" s="358"/>
      <c r="T156" s="367">
        <f t="shared" si="51"/>
        <v>1.9</v>
      </c>
      <c r="U156" s="382">
        <v>0</v>
      </c>
      <c r="V156" s="382">
        <v>45132000</v>
      </c>
      <c r="W156" s="382">
        <v>0</v>
      </c>
      <c r="X156" s="382"/>
      <c r="Y156" s="382">
        <f t="shared" ref="Y156:Y187" si="53">+U156+V156+W156+X156</f>
        <v>45132000</v>
      </c>
      <c r="Z156" s="1892"/>
      <c r="AA156" s="382">
        <v>0</v>
      </c>
      <c r="AB156" s="1203"/>
      <c r="AC156" s="383">
        <f t="shared" si="52"/>
        <v>0</v>
      </c>
      <c r="AD156" s="382">
        <v>25132000</v>
      </c>
      <c r="AE156" s="1203"/>
      <c r="AF156" s="383">
        <f t="shared" si="42"/>
        <v>0.55685544624656558</v>
      </c>
      <c r="AG156" s="384"/>
      <c r="AH156" s="1892"/>
      <c r="AI156" s="383">
        <f t="shared" si="43"/>
        <v>0</v>
      </c>
      <c r="AJ156" s="384"/>
      <c r="AK156" s="1892"/>
      <c r="AL156" s="383">
        <f t="shared" si="44"/>
        <v>0</v>
      </c>
      <c r="AM156" s="384">
        <v>20000000</v>
      </c>
      <c r="AN156" s="1892"/>
      <c r="AO156" s="342">
        <f t="shared" si="45"/>
        <v>0.44314455375343437</v>
      </c>
      <c r="AP156" s="1000">
        <f t="shared" si="40"/>
        <v>45132000</v>
      </c>
      <c r="AQ156" s="287" t="str">
        <f t="shared" si="49"/>
        <v>Bien</v>
      </c>
      <c r="AR156" s="1152" t="s">
        <v>1193</v>
      </c>
    </row>
    <row r="157" spans="1:44" s="288" customFormat="1" ht="32.25" customHeight="1" x14ac:dyDescent="0.25">
      <c r="A157" s="2048"/>
      <c r="B157" s="2015"/>
      <c r="C157" s="2185"/>
      <c r="D157" s="2185"/>
      <c r="E157" s="1970" t="s">
        <v>1136</v>
      </c>
      <c r="F157" s="1964" t="s">
        <v>896</v>
      </c>
      <c r="G157" s="1889" t="s">
        <v>1028</v>
      </c>
      <c r="H157" s="1891" t="s">
        <v>107</v>
      </c>
      <c r="I157" s="1893">
        <v>1</v>
      </c>
      <c r="J157" s="1975" t="s">
        <v>250</v>
      </c>
      <c r="K157" s="392" t="s">
        <v>897</v>
      </c>
      <c r="L157" s="393" t="s">
        <v>347</v>
      </c>
      <c r="M157" s="354">
        <v>0.3</v>
      </c>
      <c r="N157" s="354">
        <v>1</v>
      </c>
      <c r="O157" s="380">
        <v>0</v>
      </c>
      <c r="P157" s="381">
        <v>0.7</v>
      </c>
      <c r="Q157" s="381">
        <v>0</v>
      </c>
      <c r="R157" s="381">
        <v>0</v>
      </c>
      <c r="S157" s="358"/>
      <c r="T157" s="367">
        <f t="shared" ref="T157:T161" si="54">+SUM(O157:R157)</f>
        <v>0.7</v>
      </c>
      <c r="U157" s="382">
        <v>0</v>
      </c>
      <c r="V157" s="382">
        <v>40000000</v>
      </c>
      <c r="W157" s="382">
        <v>0</v>
      </c>
      <c r="X157" s="382">
        <v>0</v>
      </c>
      <c r="Y157" s="382">
        <f t="shared" si="53"/>
        <v>40000000</v>
      </c>
      <c r="Z157" s="1977">
        <f>+SUM(Y157:Y160)</f>
        <v>2473978100</v>
      </c>
      <c r="AA157" s="394">
        <v>0</v>
      </c>
      <c r="AB157" s="1978">
        <f>+SUM(AA157:AA160)</f>
        <v>0</v>
      </c>
      <c r="AC157" s="1893">
        <f>+AA157/Y157</f>
        <v>0</v>
      </c>
      <c r="AD157" s="394">
        <v>25000000</v>
      </c>
      <c r="AE157" s="1978">
        <f>+SUM(AD157:AD160)</f>
        <v>2343978100</v>
      </c>
      <c r="AF157" s="1893">
        <f>+AD157/Y157</f>
        <v>0.625</v>
      </c>
      <c r="AG157" s="395"/>
      <c r="AH157" s="1977">
        <f>+SUM(AG157:AG160)</f>
        <v>0</v>
      </c>
      <c r="AI157" s="1980">
        <f>+AG157/Y157</f>
        <v>0</v>
      </c>
      <c r="AJ157" s="395"/>
      <c r="AK157" s="1977">
        <f>+SUM(AJ157:AJ160)</f>
        <v>0</v>
      </c>
      <c r="AL157" s="1893">
        <f>+AJ157/Y157</f>
        <v>0</v>
      </c>
      <c r="AM157" s="396">
        <v>15000000</v>
      </c>
      <c r="AN157" s="1977">
        <f>+SUM(AM157:AM160)</f>
        <v>130000000</v>
      </c>
      <c r="AO157" s="2012">
        <f>+AM157/Y157</f>
        <v>0.375</v>
      </c>
      <c r="AP157" s="1000">
        <f>+AA157+AD157+AG157+AJ157+AM157</f>
        <v>40000000</v>
      </c>
      <c r="AQ157" s="287" t="str">
        <f>+IF(Y157=AP157,"Bien","Error")</f>
        <v>Bien</v>
      </c>
      <c r="AR157" s="1151" t="s">
        <v>1193</v>
      </c>
    </row>
    <row r="158" spans="1:44" s="288" customFormat="1" ht="63" customHeight="1" x14ac:dyDescent="0.25">
      <c r="A158" s="2048"/>
      <c r="B158" s="2015"/>
      <c r="C158" s="2185"/>
      <c r="D158" s="2185"/>
      <c r="E158" s="1971"/>
      <c r="F158" s="1973"/>
      <c r="G158" s="1890"/>
      <c r="H158" s="1892"/>
      <c r="I158" s="1894"/>
      <c r="J158" s="1976"/>
      <c r="K158" s="397" t="s">
        <v>898</v>
      </c>
      <c r="L158" s="393" t="s">
        <v>39</v>
      </c>
      <c r="M158" s="365" t="s">
        <v>107</v>
      </c>
      <c r="N158" s="354">
        <v>1</v>
      </c>
      <c r="O158" s="380">
        <v>0.25</v>
      </c>
      <c r="P158" s="381">
        <v>0.25</v>
      </c>
      <c r="Q158" s="381">
        <v>0.25</v>
      </c>
      <c r="R158" s="381">
        <v>0.25</v>
      </c>
      <c r="S158" s="358"/>
      <c r="T158" s="367">
        <f t="shared" si="54"/>
        <v>1</v>
      </c>
      <c r="U158" s="382">
        <v>55045455</v>
      </c>
      <c r="V158" s="382">
        <v>36696819</v>
      </c>
      <c r="W158" s="382">
        <v>63397723</v>
      </c>
      <c r="X158" s="382">
        <v>65149655</v>
      </c>
      <c r="Y158" s="382">
        <f t="shared" si="53"/>
        <v>220289652</v>
      </c>
      <c r="Z158" s="1894"/>
      <c r="AA158" s="394">
        <v>0</v>
      </c>
      <c r="AB158" s="1979"/>
      <c r="AC158" s="1949"/>
      <c r="AD158" s="394">
        <v>205289652</v>
      </c>
      <c r="AE158" s="1979"/>
      <c r="AF158" s="1949"/>
      <c r="AG158" s="398"/>
      <c r="AH158" s="1894"/>
      <c r="AI158" s="1981"/>
      <c r="AJ158" s="398"/>
      <c r="AK158" s="1894"/>
      <c r="AL158" s="1948"/>
      <c r="AM158" s="364">
        <v>15000000</v>
      </c>
      <c r="AN158" s="1894"/>
      <c r="AO158" s="2013"/>
      <c r="AP158" s="1000">
        <f>+AA158+AD158+AG158+AJ158+AM158</f>
        <v>220289652</v>
      </c>
      <c r="AQ158" s="287" t="str">
        <f>+IF(Y158=AP158,"Bien","Error")</f>
        <v>Bien</v>
      </c>
      <c r="AR158" s="1160" t="s">
        <v>1196</v>
      </c>
    </row>
    <row r="159" spans="1:44" s="288" customFormat="1" ht="50.25" customHeight="1" x14ac:dyDescent="0.25">
      <c r="A159" s="2048"/>
      <c r="B159" s="2015"/>
      <c r="C159" s="2185"/>
      <c r="D159" s="2185"/>
      <c r="E159" s="1971"/>
      <c r="F159" s="1973"/>
      <c r="G159" s="1890"/>
      <c r="H159" s="1892"/>
      <c r="I159" s="1894"/>
      <c r="J159" s="1890"/>
      <c r="K159" s="399" t="s">
        <v>899</v>
      </c>
      <c r="L159" s="365" t="s">
        <v>39</v>
      </c>
      <c r="M159" s="366" t="s">
        <v>107</v>
      </c>
      <c r="N159" s="354">
        <v>1</v>
      </c>
      <c r="O159" s="380">
        <v>0.25</v>
      </c>
      <c r="P159" s="381">
        <v>0.25</v>
      </c>
      <c r="Q159" s="381">
        <v>0.25</v>
      </c>
      <c r="R159" s="381">
        <v>0.25</v>
      </c>
      <c r="S159" s="358"/>
      <c r="T159" s="367">
        <f t="shared" si="54"/>
        <v>1</v>
      </c>
      <c r="U159" s="362">
        <v>505228704</v>
      </c>
      <c r="V159" s="362">
        <v>520385565</v>
      </c>
      <c r="W159" s="362">
        <v>535997132</v>
      </c>
      <c r="X159" s="362">
        <v>552077047</v>
      </c>
      <c r="Y159" s="362">
        <f t="shared" si="53"/>
        <v>2113688448</v>
      </c>
      <c r="Z159" s="1892"/>
      <c r="AA159" s="400">
        <v>0</v>
      </c>
      <c r="AB159" s="1203"/>
      <c r="AC159" s="363">
        <f t="shared" ref="AC159:AC161" si="55">+AA159/Y159</f>
        <v>0</v>
      </c>
      <c r="AD159" s="400">
        <v>2113688448</v>
      </c>
      <c r="AE159" s="1203"/>
      <c r="AF159" s="373">
        <f t="shared" ref="AF159:AF161" si="56">+AD159/Y159</f>
        <v>1</v>
      </c>
      <c r="AG159" s="398"/>
      <c r="AH159" s="1892"/>
      <c r="AI159" s="401">
        <f t="shared" ref="AI159:AI161" si="57">+AG159/Y159</f>
        <v>0</v>
      </c>
      <c r="AJ159" s="398"/>
      <c r="AK159" s="1892"/>
      <c r="AL159" s="363">
        <f t="shared" ref="AL159:AL161" si="58">+AJ159/Y159</f>
        <v>0</v>
      </c>
      <c r="AM159" s="364"/>
      <c r="AN159" s="1892"/>
      <c r="AO159" s="341">
        <f t="shared" ref="AO159:AO161" si="59">+AM159/Y159</f>
        <v>0</v>
      </c>
      <c r="AP159" s="1000">
        <f t="shared" ref="AP159:AP161" si="60">+AA159+AD159+AG159+AJ159+AM159</f>
        <v>2113688448</v>
      </c>
      <c r="AQ159" s="287" t="str">
        <f t="shared" ref="AQ159:AQ161" si="61">+IF(Y159=AP159,"Bien","Error")</f>
        <v>Bien</v>
      </c>
      <c r="AR159" s="1160" t="s">
        <v>1196</v>
      </c>
    </row>
    <row r="160" spans="1:44" s="288" customFormat="1" ht="59.25" customHeight="1" x14ac:dyDescent="0.25">
      <c r="A160" s="2048"/>
      <c r="B160" s="2015"/>
      <c r="C160" s="2185"/>
      <c r="D160" s="2185"/>
      <c r="E160" s="1972"/>
      <c r="F160" s="1974"/>
      <c r="G160" s="1942"/>
      <c r="H160" s="1948"/>
      <c r="I160" s="1949"/>
      <c r="J160" s="1942"/>
      <c r="K160" s="833" t="s">
        <v>1137</v>
      </c>
      <c r="L160" s="834" t="s">
        <v>39</v>
      </c>
      <c r="M160" s="835" t="s">
        <v>107</v>
      </c>
      <c r="N160" s="1135">
        <v>0.25</v>
      </c>
      <c r="O160" s="380">
        <v>0.05</v>
      </c>
      <c r="P160" s="381">
        <v>0.05</v>
      </c>
      <c r="Q160" s="381">
        <v>0.1</v>
      </c>
      <c r="R160" s="381">
        <v>0.05</v>
      </c>
      <c r="S160" s="358"/>
      <c r="T160" s="367"/>
      <c r="U160" s="362">
        <v>25000000</v>
      </c>
      <c r="V160" s="362">
        <v>25000000</v>
      </c>
      <c r="W160" s="362">
        <v>25000000</v>
      </c>
      <c r="X160" s="362">
        <v>25000000</v>
      </c>
      <c r="Y160" s="362">
        <f t="shared" si="53"/>
        <v>100000000</v>
      </c>
      <c r="Z160" s="1948"/>
      <c r="AA160" s="382"/>
      <c r="AB160" s="1274"/>
      <c r="AC160" s="363">
        <f t="shared" si="55"/>
        <v>0</v>
      </c>
      <c r="AD160" s="364"/>
      <c r="AE160" s="1274"/>
      <c r="AF160" s="373">
        <f t="shared" si="56"/>
        <v>0</v>
      </c>
      <c r="AG160" s="398"/>
      <c r="AH160" s="1948"/>
      <c r="AI160" s="401">
        <f t="shared" si="57"/>
        <v>0</v>
      </c>
      <c r="AJ160" s="398"/>
      <c r="AK160" s="1948"/>
      <c r="AL160" s="363">
        <f t="shared" si="58"/>
        <v>0</v>
      </c>
      <c r="AM160" s="364">
        <f>+Y160</f>
        <v>100000000</v>
      </c>
      <c r="AN160" s="1948"/>
      <c r="AO160" s="341">
        <f t="shared" si="59"/>
        <v>1</v>
      </c>
      <c r="AP160" s="1000">
        <f t="shared" si="60"/>
        <v>100000000</v>
      </c>
      <c r="AQ160" s="287" t="str">
        <f t="shared" si="61"/>
        <v>Bien</v>
      </c>
      <c r="AR160" s="1160" t="s">
        <v>1198</v>
      </c>
    </row>
    <row r="161" spans="1:44" s="288" customFormat="1" ht="99" customHeight="1" x14ac:dyDescent="0.25">
      <c r="A161" s="2048"/>
      <c r="B161" s="2015"/>
      <c r="C161" s="1123">
        <v>4103</v>
      </c>
      <c r="D161" s="1124" t="s">
        <v>1090</v>
      </c>
      <c r="E161" s="1116" t="s">
        <v>251</v>
      </c>
      <c r="F161" s="379" t="s">
        <v>900</v>
      </c>
      <c r="G161" s="353" t="s">
        <v>1138</v>
      </c>
      <c r="H161" s="366" t="s">
        <v>107</v>
      </c>
      <c r="I161" s="373">
        <v>1</v>
      </c>
      <c r="J161" s="402" t="s">
        <v>251</v>
      </c>
      <c r="K161" s="352" t="s">
        <v>901</v>
      </c>
      <c r="L161" s="353" t="s">
        <v>606</v>
      </c>
      <c r="M161" s="385" t="s">
        <v>107</v>
      </c>
      <c r="N161" s="365">
        <v>600</v>
      </c>
      <c r="O161" s="355">
        <v>100</v>
      </c>
      <c r="P161" s="403">
        <v>150</v>
      </c>
      <c r="Q161" s="403">
        <v>150</v>
      </c>
      <c r="R161" s="403">
        <v>200</v>
      </c>
      <c r="S161" s="404"/>
      <c r="T161" s="405">
        <f t="shared" si="54"/>
        <v>600</v>
      </c>
      <c r="U161" s="382">
        <v>90000000</v>
      </c>
      <c r="V161" s="382">
        <v>102700000</v>
      </c>
      <c r="W161" s="382">
        <v>105481000</v>
      </c>
      <c r="X161" s="382">
        <v>108345430</v>
      </c>
      <c r="Y161" s="362">
        <f t="shared" si="53"/>
        <v>406526430</v>
      </c>
      <c r="Z161" s="388">
        <f>+SUM(Y161)</f>
        <v>406526430</v>
      </c>
      <c r="AA161" s="382">
        <v>146426945</v>
      </c>
      <c r="AB161" s="1047">
        <f>+SUM(AA161)</f>
        <v>146426945</v>
      </c>
      <c r="AC161" s="363">
        <f t="shared" si="55"/>
        <v>0.36019046781287994</v>
      </c>
      <c r="AD161" s="362">
        <v>230099485</v>
      </c>
      <c r="AE161" s="1047">
        <f>+SUM(AD161)</f>
        <v>230099485</v>
      </c>
      <c r="AF161" s="363">
        <f t="shared" si="56"/>
        <v>0.56601359227738279</v>
      </c>
      <c r="AG161" s="406"/>
      <c r="AH161" s="388">
        <f>+SUM(AG161)</f>
        <v>0</v>
      </c>
      <c r="AI161" s="407">
        <f t="shared" si="57"/>
        <v>0</v>
      </c>
      <c r="AJ161" s="406"/>
      <c r="AK161" s="388">
        <f>+SUM(AJ161)</f>
        <v>0</v>
      </c>
      <c r="AL161" s="363">
        <f t="shared" si="58"/>
        <v>0</v>
      </c>
      <c r="AM161" s="364">
        <v>30000000</v>
      </c>
      <c r="AN161" s="388">
        <f>+SUM(AM161)</f>
        <v>30000000</v>
      </c>
      <c r="AO161" s="341">
        <f t="shared" si="59"/>
        <v>7.3795939909737235E-2</v>
      </c>
      <c r="AP161" s="1000">
        <f t="shared" si="60"/>
        <v>406526430</v>
      </c>
      <c r="AQ161" s="287" t="str">
        <f t="shared" si="61"/>
        <v>Bien</v>
      </c>
      <c r="AR161" s="1160" t="s">
        <v>1199</v>
      </c>
    </row>
    <row r="162" spans="1:44" ht="218.25" customHeight="1" x14ac:dyDescent="0.25">
      <c r="A162" s="2048"/>
      <c r="B162" s="2015"/>
      <c r="C162" s="2185">
        <v>4104</v>
      </c>
      <c r="D162" s="2185" t="s">
        <v>1089</v>
      </c>
      <c r="E162" s="1564" t="s">
        <v>253</v>
      </c>
      <c r="F162" s="1545" t="s">
        <v>1263</v>
      </c>
      <c r="G162" s="1545" t="s">
        <v>1264</v>
      </c>
      <c r="H162" s="1547">
        <v>4151</v>
      </c>
      <c r="I162" s="1548">
        <v>0.1</v>
      </c>
      <c r="J162" s="1550" t="s">
        <v>254</v>
      </c>
      <c r="K162" s="252" t="s">
        <v>1071</v>
      </c>
      <c r="L162" s="408" t="s">
        <v>1029</v>
      </c>
      <c r="M162" s="409">
        <v>0</v>
      </c>
      <c r="N162" s="410">
        <v>1</v>
      </c>
      <c r="O162" s="411">
        <v>1</v>
      </c>
      <c r="P162" s="412"/>
      <c r="Q162" s="412"/>
      <c r="R162" s="412"/>
      <c r="S162" s="412"/>
      <c r="T162" s="412"/>
      <c r="U162" s="413">
        <v>20000000</v>
      </c>
      <c r="V162" s="412"/>
      <c r="W162" s="412"/>
      <c r="X162" s="412"/>
      <c r="Y162" s="414">
        <f t="shared" si="53"/>
        <v>20000000</v>
      </c>
      <c r="Z162" s="1537">
        <f>+SUM(Y162:Y163)</f>
        <v>1778010143.41519</v>
      </c>
      <c r="AA162" s="415">
        <f>Y162</f>
        <v>20000000</v>
      </c>
      <c r="AB162" s="1560">
        <f>+SUM(AA162:AA163)</f>
        <v>1778010143.41519</v>
      </c>
      <c r="AC162" s="416">
        <f t="shared" si="50"/>
        <v>1</v>
      </c>
      <c r="AD162" s="415"/>
      <c r="AE162" s="1560">
        <f>+SUM(AD162:AD163)</f>
        <v>0</v>
      </c>
      <c r="AF162" s="416">
        <f t="shared" si="42"/>
        <v>0</v>
      </c>
      <c r="AG162" s="415"/>
      <c r="AH162" s="1537">
        <f>+SUM(AG162:AG163)</f>
        <v>0</v>
      </c>
      <c r="AI162" s="416">
        <f t="shared" si="43"/>
        <v>0</v>
      </c>
      <c r="AJ162" s="415"/>
      <c r="AK162" s="1537">
        <f>+SUM(AJ162:AJ163)</f>
        <v>0</v>
      </c>
      <c r="AL162" s="416">
        <f t="shared" si="44"/>
        <v>0</v>
      </c>
      <c r="AM162" s="415"/>
      <c r="AN162" s="1537">
        <f>+SUM(AM162:AM163)</f>
        <v>0</v>
      </c>
      <c r="AO162" s="121">
        <f t="shared" si="45"/>
        <v>0</v>
      </c>
      <c r="AP162" s="123">
        <f t="shared" ref="AP162:AP213" si="62">+AA162+AD162+AG162+AJ162+AM162</f>
        <v>20000000</v>
      </c>
      <c r="AQ162" s="18" t="str">
        <f t="shared" si="49"/>
        <v>Bien</v>
      </c>
      <c r="AR162" s="1160" t="s">
        <v>1200</v>
      </c>
    </row>
    <row r="163" spans="1:44" ht="44.25" customHeight="1" x14ac:dyDescent="0.25">
      <c r="A163" s="2048"/>
      <c r="B163" s="2015"/>
      <c r="C163" s="2185"/>
      <c r="D163" s="2185"/>
      <c r="E163" s="1565"/>
      <c r="F163" s="1546"/>
      <c r="G163" s="1546"/>
      <c r="H163" s="1547"/>
      <c r="I163" s="1549"/>
      <c r="J163" s="1551"/>
      <c r="K163" s="252" t="s">
        <v>938</v>
      </c>
      <c r="L163" s="319" t="s">
        <v>39</v>
      </c>
      <c r="M163" s="319" t="s">
        <v>107</v>
      </c>
      <c r="N163" s="253">
        <v>0.25</v>
      </c>
      <c r="O163" s="417">
        <v>0.05</v>
      </c>
      <c r="P163" s="418">
        <v>0.05</v>
      </c>
      <c r="Q163" s="418">
        <v>0.05</v>
      </c>
      <c r="R163" s="418">
        <v>0.1</v>
      </c>
      <c r="S163" s="419"/>
      <c r="T163" s="420">
        <f>+SUM(O163:R163)</f>
        <v>0.25</v>
      </c>
      <c r="U163" s="421">
        <v>420211970</v>
      </c>
      <c r="V163" s="422">
        <f t="shared" ref="V163:X163" si="63">U163+(U163*0.03)</f>
        <v>432818329.10000002</v>
      </c>
      <c r="W163" s="422">
        <f t="shared" si="63"/>
        <v>445802878.97300005</v>
      </c>
      <c r="X163" s="422">
        <f t="shared" si="63"/>
        <v>459176965.34219003</v>
      </c>
      <c r="Y163" s="414">
        <f t="shared" si="53"/>
        <v>1758010143.41519</v>
      </c>
      <c r="Z163" s="1559"/>
      <c r="AA163" s="415">
        <f>+Y163</f>
        <v>1758010143.41519</v>
      </c>
      <c r="AB163" s="1477"/>
      <c r="AC163" s="416">
        <f t="shared" si="50"/>
        <v>1</v>
      </c>
      <c r="AD163" s="415"/>
      <c r="AE163" s="1477"/>
      <c r="AF163" s="416">
        <f t="shared" si="42"/>
        <v>0</v>
      </c>
      <c r="AG163" s="415"/>
      <c r="AH163" s="1559"/>
      <c r="AI163" s="416">
        <f t="shared" si="43"/>
        <v>0</v>
      </c>
      <c r="AJ163" s="415"/>
      <c r="AK163" s="1559"/>
      <c r="AL163" s="416">
        <f t="shared" si="44"/>
        <v>0</v>
      </c>
      <c r="AM163" s="415"/>
      <c r="AN163" s="1559"/>
      <c r="AO163" s="121">
        <f t="shared" si="45"/>
        <v>0</v>
      </c>
      <c r="AP163" s="123">
        <f t="shared" si="62"/>
        <v>1758010143.41519</v>
      </c>
      <c r="AQ163" s="18" t="str">
        <f t="shared" si="49"/>
        <v>Bien</v>
      </c>
      <c r="AR163" s="1152" t="s">
        <v>1200</v>
      </c>
    </row>
    <row r="164" spans="1:44" ht="140.25" x14ac:dyDescent="0.25">
      <c r="A164" s="2048"/>
      <c r="B164" s="2015"/>
      <c r="C164" s="2185"/>
      <c r="D164" s="2185"/>
      <c r="E164" s="1539" t="s">
        <v>255</v>
      </c>
      <c r="F164" s="1542" t="s">
        <v>1140</v>
      </c>
      <c r="G164" s="1545" t="s">
        <v>1139</v>
      </c>
      <c r="H164" s="1547" t="s">
        <v>107</v>
      </c>
      <c r="I164" s="1548">
        <v>1</v>
      </c>
      <c r="J164" s="1550" t="s">
        <v>256</v>
      </c>
      <c r="K164" s="252" t="s">
        <v>617</v>
      </c>
      <c r="L164" s="319" t="s">
        <v>39</v>
      </c>
      <c r="M164" s="253">
        <v>0</v>
      </c>
      <c r="N164" s="253">
        <v>1</v>
      </c>
      <c r="O164" s="423">
        <v>0.5</v>
      </c>
      <c r="P164" s="424">
        <v>0.5</v>
      </c>
      <c r="Q164" s="424"/>
      <c r="R164" s="424"/>
      <c r="S164" s="425"/>
      <c r="T164" s="426">
        <f t="shared" ref="T164:T166" si="64">+SUM(O164:R164)</f>
        <v>1</v>
      </c>
      <c r="U164" s="427">
        <v>43000000</v>
      </c>
      <c r="V164" s="427">
        <v>63000000</v>
      </c>
      <c r="W164" s="415">
        <v>37200000</v>
      </c>
      <c r="X164" s="415">
        <v>38400000</v>
      </c>
      <c r="Y164" s="428">
        <f t="shared" si="53"/>
        <v>181600000</v>
      </c>
      <c r="Z164" s="1537">
        <f>+SUM(Y164:Y166)</f>
        <v>919741407.59851694</v>
      </c>
      <c r="AA164" s="427">
        <f>+Y164</f>
        <v>181600000</v>
      </c>
      <c r="AB164" s="1560">
        <f>+SUM(AA164:AA166)</f>
        <v>919741407.59851694</v>
      </c>
      <c r="AC164" s="416">
        <f t="shared" si="50"/>
        <v>1</v>
      </c>
      <c r="AD164" s="429"/>
      <c r="AE164" s="1560">
        <f>+SUM(AD164:AD166)</f>
        <v>0</v>
      </c>
      <c r="AF164" s="416">
        <f t="shared" si="42"/>
        <v>0</v>
      </c>
      <c r="AG164" s="429"/>
      <c r="AH164" s="1537">
        <f>+SUM(AG164:AG166)</f>
        <v>0</v>
      </c>
      <c r="AI164" s="416">
        <f t="shared" si="43"/>
        <v>0</v>
      </c>
      <c r="AJ164" s="429"/>
      <c r="AK164" s="1537">
        <f>+SUM(AJ164:AJ166)</f>
        <v>0</v>
      </c>
      <c r="AL164" s="416">
        <f t="shared" si="44"/>
        <v>0</v>
      </c>
      <c r="AM164" s="429"/>
      <c r="AN164" s="1537">
        <f>+SUM(AM164:AM166)</f>
        <v>0</v>
      </c>
      <c r="AO164" s="121">
        <f t="shared" si="45"/>
        <v>0</v>
      </c>
      <c r="AP164" s="123">
        <f t="shared" si="62"/>
        <v>181600000</v>
      </c>
      <c r="AQ164" s="18" t="str">
        <f t="shared" si="49"/>
        <v>Bien</v>
      </c>
      <c r="AR164" s="1152" t="s">
        <v>1201</v>
      </c>
    </row>
    <row r="165" spans="1:44" ht="140.25" x14ac:dyDescent="0.25">
      <c r="A165" s="2048"/>
      <c r="B165" s="2015"/>
      <c r="C165" s="2185"/>
      <c r="D165" s="2185"/>
      <c r="E165" s="1540"/>
      <c r="F165" s="1543"/>
      <c r="G165" s="1546"/>
      <c r="H165" s="1547"/>
      <c r="I165" s="1549"/>
      <c r="J165" s="1551"/>
      <c r="K165" s="252" t="s">
        <v>1068</v>
      </c>
      <c r="L165" s="319" t="s">
        <v>1141</v>
      </c>
      <c r="M165" s="319">
        <v>2</v>
      </c>
      <c r="N165" s="319">
        <v>14</v>
      </c>
      <c r="O165" s="430">
        <v>2</v>
      </c>
      <c r="P165" s="431">
        <v>3</v>
      </c>
      <c r="Q165" s="431">
        <v>4</v>
      </c>
      <c r="R165" s="431">
        <v>5</v>
      </c>
      <c r="S165" s="432"/>
      <c r="T165" s="433">
        <f t="shared" si="64"/>
        <v>14</v>
      </c>
      <c r="U165" s="415">
        <v>123790149.69999999</v>
      </c>
      <c r="V165" s="415">
        <v>114406854.19099998</v>
      </c>
      <c r="W165" s="415">
        <v>137222059.81672999</v>
      </c>
      <c r="X165" s="415">
        <v>141279921.61123189</v>
      </c>
      <c r="Y165" s="428">
        <f t="shared" si="53"/>
        <v>516698985.31896186</v>
      </c>
      <c r="Z165" s="1538"/>
      <c r="AA165" s="427">
        <f t="shared" ref="AA165:AA166" si="65">+Y165</f>
        <v>516698985.31896186</v>
      </c>
      <c r="AB165" s="1481"/>
      <c r="AC165" s="416">
        <f t="shared" si="50"/>
        <v>1</v>
      </c>
      <c r="AD165" s="429"/>
      <c r="AE165" s="1481"/>
      <c r="AF165" s="416">
        <f t="shared" ref="AF165:AF194" si="66">+AD165/Y165</f>
        <v>0</v>
      </c>
      <c r="AG165" s="429"/>
      <c r="AH165" s="1538"/>
      <c r="AI165" s="416">
        <f t="shared" ref="AI165:AI166" si="67">+AG165/Y165</f>
        <v>0</v>
      </c>
      <c r="AJ165" s="429"/>
      <c r="AK165" s="1538"/>
      <c r="AL165" s="416">
        <f t="shared" ref="AL165:AL199" si="68">+AJ165/Y165</f>
        <v>0</v>
      </c>
      <c r="AM165" s="429"/>
      <c r="AN165" s="1538"/>
      <c r="AO165" s="121">
        <f t="shared" ref="AO165:AO166" si="69">+AM165/Y165</f>
        <v>0</v>
      </c>
      <c r="AP165" s="123">
        <f t="shared" si="62"/>
        <v>516698985.31896186</v>
      </c>
      <c r="AQ165" s="18" t="str">
        <f t="shared" si="49"/>
        <v>Bien</v>
      </c>
      <c r="AR165" s="1152" t="s">
        <v>1201</v>
      </c>
    </row>
    <row r="166" spans="1:44" ht="140.25" x14ac:dyDescent="0.25">
      <c r="A166" s="2048"/>
      <c r="B166" s="2016"/>
      <c r="C166" s="2185"/>
      <c r="D166" s="2185"/>
      <c r="E166" s="1541"/>
      <c r="F166" s="1544"/>
      <c r="G166" s="1546"/>
      <c r="H166" s="1547"/>
      <c r="I166" s="1549"/>
      <c r="J166" s="1552"/>
      <c r="K166" s="434" t="s">
        <v>257</v>
      </c>
      <c r="L166" s="435" t="s">
        <v>618</v>
      </c>
      <c r="M166" s="435">
        <v>2</v>
      </c>
      <c r="N166" s="435">
        <v>2</v>
      </c>
      <c r="O166" s="436">
        <v>2</v>
      </c>
      <c r="P166" s="431">
        <v>2</v>
      </c>
      <c r="Q166" s="431">
        <v>2</v>
      </c>
      <c r="R166" s="431">
        <v>2</v>
      </c>
      <c r="S166" s="432"/>
      <c r="T166" s="433">
        <f t="shared" si="64"/>
        <v>8</v>
      </c>
      <c r="U166" s="774">
        <v>53052921.299999997</v>
      </c>
      <c r="V166" s="774">
        <v>49031508.938999996</v>
      </c>
      <c r="W166" s="774">
        <v>58809454.207170002</v>
      </c>
      <c r="X166" s="774">
        <v>60548537.833385095</v>
      </c>
      <c r="Y166" s="770">
        <f t="shared" si="53"/>
        <v>221442422.27955508</v>
      </c>
      <c r="Z166" s="1538"/>
      <c r="AA166" s="771">
        <f t="shared" si="65"/>
        <v>221442422.27955508</v>
      </c>
      <c r="AB166" s="1481"/>
      <c r="AC166" s="772">
        <f t="shared" si="50"/>
        <v>1</v>
      </c>
      <c r="AD166" s="773"/>
      <c r="AE166" s="1481"/>
      <c r="AF166" s="772">
        <f t="shared" si="66"/>
        <v>0</v>
      </c>
      <c r="AG166" s="773"/>
      <c r="AH166" s="1538"/>
      <c r="AI166" s="772">
        <f t="shared" si="67"/>
        <v>0</v>
      </c>
      <c r="AJ166" s="773"/>
      <c r="AK166" s="1538"/>
      <c r="AL166" s="772">
        <f t="shared" si="68"/>
        <v>0</v>
      </c>
      <c r="AM166" s="773"/>
      <c r="AN166" s="1538"/>
      <c r="AO166" s="121">
        <f t="shared" si="69"/>
        <v>0</v>
      </c>
      <c r="AP166" s="123">
        <f t="shared" si="62"/>
        <v>221442422.27955508</v>
      </c>
      <c r="AQ166" s="18" t="str">
        <f t="shared" si="49"/>
        <v>Bien</v>
      </c>
      <c r="AR166" s="1152" t="s">
        <v>1201</v>
      </c>
    </row>
    <row r="167" spans="1:44" ht="47.25" customHeight="1" x14ac:dyDescent="0.25">
      <c r="A167" s="2048"/>
      <c r="B167" s="2050" t="s">
        <v>258</v>
      </c>
      <c r="C167" s="2185">
        <v>4003</v>
      </c>
      <c r="D167" s="2185" t="s">
        <v>1091</v>
      </c>
      <c r="E167" s="2052" t="s">
        <v>258</v>
      </c>
      <c r="F167" s="753" t="s">
        <v>966</v>
      </c>
      <c r="G167" s="754" t="s">
        <v>26</v>
      </c>
      <c r="H167" s="755">
        <v>0.99</v>
      </c>
      <c r="I167" s="756">
        <v>1</v>
      </c>
      <c r="J167" s="2054" t="s">
        <v>619</v>
      </c>
      <c r="K167" s="757" t="s">
        <v>967</v>
      </c>
      <c r="L167" s="758" t="s">
        <v>368</v>
      </c>
      <c r="M167" s="758">
        <v>0</v>
      </c>
      <c r="N167" s="758">
        <v>16</v>
      </c>
      <c r="O167" s="759">
        <v>2</v>
      </c>
      <c r="P167" s="759">
        <v>6</v>
      </c>
      <c r="Q167" s="759">
        <v>6</v>
      </c>
      <c r="R167" s="759">
        <v>2</v>
      </c>
      <c r="U167" s="775">
        <v>1200000000</v>
      </c>
      <c r="V167" s="775">
        <v>3600000000</v>
      </c>
      <c r="W167" s="775">
        <v>3600000000</v>
      </c>
      <c r="X167" s="775">
        <v>1200000000</v>
      </c>
      <c r="Y167" s="777">
        <f t="shared" si="53"/>
        <v>9600000000</v>
      </c>
      <c r="Z167" s="1566">
        <f>+SUM(Y167:Y179)</f>
        <v>68231490804</v>
      </c>
      <c r="AA167" s="777"/>
      <c r="AB167" s="1561">
        <f>+SUM(AA167:AA179)</f>
        <v>0</v>
      </c>
      <c r="AC167" s="777"/>
      <c r="AD167" s="777"/>
      <c r="AE167" s="1561">
        <f>+SUM(AD167:AD179)</f>
        <v>35745011292</v>
      </c>
      <c r="AF167" s="777"/>
      <c r="AG167" s="777"/>
      <c r="AH167" s="1566">
        <f>+SUM(AG167:AG179)</f>
        <v>0</v>
      </c>
      <c r="AI167" s="777"/>
      <c r="AJ167" s="777"/>
      <c r="AK167" s="1566">
        <f>+SUM(AJ167:AJ179)</f>
        <v>5586479512</v>
      </c>
      <c r="AL167" s="777"/>
      <c r="AM167" s="777">
        <f>+Y167</f>
        <v>9600000000</v>
      </c>
      <c r="AN167" s="1566">
        <f>+SUM(AM167:AM179)</f>
        <v>26900000000</v>
      </c>
      <c r="AP167" s="123">
        <f t="shared" si="62"/>
        <v>9600000000</v>
      </c>
      <c r="AQ167" s="18" t="str">
        <f t="shared" si="49"/>
        <v>Bien</v>
      </c>
      <c r="AR167" s="1153" t="s">
        <v>1202</v>
      </c>
    </row>
    <row r="168" spans="1:44" ht="43.5" customHeight="1" x14ac:dyDescent="0.25">
      <c r="A168" s="2048"/>
      <c r="B168" s="2051"/>
      <c r="C168" s="2185"/>
      <c r="D168" s="2185"/>
      <c r="E168" s="2053"/>
      <c r="F168" s="753" t="s">
        <v>1142</v>
      </c>
      <c r="G168" s="754" t="s">
        <v>26</v>
      </c>
      <c r="H168" s="755">
        <v>0.98</v>
      </c>
      <c r="I168" s="760" t="s">
        <v>259</v>
      </c>
      <c r="J168" s="2055"/>
      <c r="K168" s="757" t="s">
        <v>260</v>
      </c>
      <c r="L168" s="758" t="s">
        <v>26</v>
      </c>
      <c r="M168" s="761">
        <v>0</v>
      </c>
      <c r="N168" s="761">
        <v>0.4</v>
      </c>
      <c r="O168" s="762">
        <v>0.1</v>
      </c>
      <c r="P168" s="762">
        <v>0.1</v>
      </c>
      <c r="Q168" s="762">
        <v>0.1</v>
      </c>
      <c r="R168" s="762">
        <v>0.1</v>
      </c>
      <c r="U168" s="775">
        <v>130000000</v>
      </c>
      <c r="V168" s="775">
        <v>130000000</v>
      </c>
      <c r="W168" s="775">
        <v>130000000</v>
      </c>
      <c r="X168" s="775">
        <v>130000000</v>
      </c>
      <c r="Y168" s="777">
        <f t="shared" si="53"/>
        <v>520000000</v>
      </c>
      <c r="Z168" s="1567"/>
      <c r="AA168" s="777"/>
      <c r="AB168" s="1562"/>
      <c r="AC168" s="777"/>
      <c r="AD168" s="777"/>
      <c r="AE168" s="1562"/>
      <c r="AF168" s="777"/>
      <c r="AG168" s="777"/>
      <c r="AH168" s="1567"/>
      <c r="AI168" s="777"/>
      <c r="AJ168" s="777"/>
      <c r="AK168" s="1567"/>
      <c r="AL168" s="777"/>
      <c r="AM168" s="777">
        <f t="shared" ref="AM168:AM170" si="70">+Y168</f>
        <v>520000000</v>
      </c>
      <c r="AN168" s="1567"/>
      <c r="AP168" s="123">
        <f t="shared" si="62"/>
        <v>520000000</v>
      </c>
      <c r="AQ168" s="18" t="str">
        <f t="shared" si="49"/>
        <v>Bien</v>
      </c>
      <c r="AR168" s="1153" t="s">
        <v>1202</v>
      </c>
    </row>
    <row r="169" spans="1:44" ht="76.5" x14ac:dyDescent="0.25">
      <c r="A169" s="2048"/>
      <c r="B169" s="2051"/>
      <c r="C169" s="2185"/>
      <c r="D169" s="2185"/>
      <c r="E169" s="2053"/>
      <c r="F169" s="753" t="s">
        <v>261</v>
      </c>
      <c r="G169" s="754" t="s">
        <v>262</v>
      </c>
      <c r="H169" s="755" t="s">
        <v>263</v>
      </c>
      <c r="I169" s="760" t="s">
        <v>264</v>
      </c>
      <c r="J169" s="2055"/>
      <c r="K169" s="757" t="s">
        <v>265</v>
      </c>
      <c r="L169" s="758" t="s">
        <v>266</v>
      </c>
      <c r="M169" s="758" t="s">
        <v>267</v>
      </c>
      <c r="N169" s="758" t="s">
        <v>968</v>
      </c>
      <c r="O169" s="759">
        <v>250</v>
      </c>
      <c r="P169" s="759"/>
      <c r="Q169" s="759"/>
      <c r="R169" s="759"/>
      <c r="U169" s="775">
        <v>400000000</v>
      </c>
      <c r="V169" s="776"/>
      <c r="W169" s="776"/>
      <c r="X169" s="776"/>
      <c r="Y169" s="777">
        <f t="shared" si="53"/>
        <v>400000000</v>
      </c>
      <c r="Z169" s="1567"/>
      <c r="AA169" s="777"/>
      <c r="AB169" s="1562"/>
      <c r="AC169" s="777"/>
      <c r="AD169" s="777"/>
      <c r="AE169" s="1562"/>
      <c r="AF169" s="777"/>
      <c r="AG169" s="777"/>
      <c r="AH169" s="1567"/>
      <c r="AI169" s="777"/>
      <c r="AJ169" s="777"/>
      <c r="AK169" s="1567"/>
      <c r="AL169" s="777"/>
      <c r="AM169" s="777">
        <f t="shared" si="70"/>
        <v>400000000</v>
      </c>
      <c r="AN169" s="1567"/>
      <c r="AP169" s="123">
        <f t="shared" si="62"/>
        <v>400000000</v>
      </c>
      <c r="AQ169" s="18" t="str">
        <f t="shared" si="49"/>
        <v>Bien</v>
      </c>
      <c r="AR169" s="1153" t="s">
        <v>1202</v>
      </c>
    </row>
    <row r="170" spans="1:44" ht="48.75" customHeight="1" x14ac:dyDescent="0.25">
      <c r="A170" s="2048"/>
      <c r="B170" s="2051"/>
      <c r="C170" s="2185"/>
      <c r="D170" s="2185"/>
      <c r="E170" s="2053"/>
      <c r="F170" s="763" t="s">
        <v>969</v>
      </c>
      <c r="G170" s="754" t="s">
        <v>26</v>
      </c>
      <c r="H170" s="755">
        <v>0.94</v>
      </c>
      <c r="I170" s="760" t="s">
        <v>268</v>
      </c>
      <c r="J170" s="2055"/>
      <c r="K170" s="757" t="s">
        <v>970</v>
      </c>
      <c r="L170" s="758" t="s">
        <v>368</v>
      </c>
      <c r="M170" s="758">
        <v>0</v>
      </c>
      <c r="N170" s="758">
        <v>16</v>
      </c>
      <c r="O170" s="759">
        <v>2</v>
      </c>
      <c r="P170" s="759">
        <v>6</v>
      </c>
      <c r="Q170" s="759">
        <v>6</v>
      </c>
      <c r="R170" s="759">
        <v>2</v>
      </c>
      <c r="U170" s="775">
        <v>1600000000</v>
      </c>
      <c r="V170" s="775">
        <v>4800000000</v>
      </c>
      <c r="W170" s="775">
        <v>4800000000</v>
      </c>
      <c r="X170" s="775">
        <v>1600000000</v>
      </c>
      <c r="Y170" s="777">
        <f t="shared" si="53"/>
        <v>12800000000</v>
      </c>
      <c r="Z170" s="1567"/>
      <c r="AA170" s="777"/>
      <c r="AB170" s="1562"/>
      <c r="AC170" s="777"/>
      <c r="AD170" s="777"/>
      <c r="AE170" s="1562"/>
      <c r="AF170" s="777"/>
      <c r="AG170" s="777"/>
      <c r="AH170" s="1567"/>
      <c r="AI170" s="777"/>
      <c r="AJ170" s="777"/>
      <c r="AK170" s="1567"/>
      <c r="AL170" s="777"/>
      <c r="AM170" s="777">
        <f t="shared" si="70"/>
        <v>12800000000</v>
      </c>
      <c r="AN170" s="1567"/>
      <c r="AP170" s="123">
        <f t="shared" si="62"/>
        <v>12800000000</v>
      </c>
      <c r="AQ170" s="18" t="str">
        <f t="shared" si="49"/>
        <v>Bien</v>
      </c>
      <c r="AR170" s="1153" t="s">
        <v>1202</v>
      </c>
    </row>
    <row r="171" spans="1:44" ht="38.25" x14ac:dyDescent="0.25">
      <c r="A171" s="2048"/>
      <c r="B171" s="2051"/>
      <c r="C171" s="2185"/>
      <c r="D171" s="2185"/>
      <c r="E171" s="2053"/>
      <c r="F171" s="763" t="s">
        <v>269</v>
      </c>
      <c r="G171" s="764" t="s">
        <v>193</v>
      </c>
      <c r="H171" s="765">
        <v>0</v>
      </c>
      <c r="I171" s="765">
        <v>1</v>
      </c>
      <c r="J171" s="2055"/>
      <c r="K171" s="757" t="s">
        <v>971</v>
      </c>
      <c r="L171" s="758" t="s">
        <v>26</v>
      </c>
      <c r="M171" s="758">
        <v>0</v>
      </c>
      <c r="N171" s="761">
        <v>1</v>
      </c>
      <c r="O171" s="762">
        <v>0.1</v>
      </c>
      <c r="P171" s="762">
        <v>0.2</v>
      </c>
      <c r="Q171" s="762">
        <v>0.16</v>
      </c>
      <c r="R171" s="762">
        <v>0.54</v>
      </c>
      <c r="U171" s="775">
        <v>1695401338</v>
      </c>
      <c r="V171" s="775">
        <v>3279480584</v>
      </c>
      <c r="W171" s="775">
        <v>2558865540</v>
      </c>
      <c r="X171" s="775">
        <v>8741886562</v>
      </c>
      <c r="Y171" s="777">
        <f t="shared" si="53"/>
        <v>16275634024</v>
      </c>
      <c r="Z171" s="1567"/>
      <c r="AA171" s="777"/>
      <c r="AB171" s="1562"/>
      <c r="AC171" s="777"/>
      <c r="AD171" s="777">
        <f>+Y171</f>
        <v>16275634024</v>
      </c>
      <c r="AE171" s="1562"/>
      <c r="AF171" s="777"/>
      <c r="AG171" s="777"/>
      <c r="AH171" s="1567"/>
      <c r="AI171" s="777"/>
      <c r="AJ171" s="777"/>
      <c r="AK171" s="1567"/>
      <c r="AL171" s="777"/>
      <c r="AM171" s="777"/>
      <c r="AN171" s="1567"/>
      <c r="AP171" s="123">
        <f t="shared" si="62"/>
        <v>16275634024</v>
      </c>
      <c r="AQ171" s="18" t="str">
        <f t="shared" si="49"/>
        <v>Bien</v>
      </c>
      <c r="AR171" s="1153" t="s">
        <v>1202</v>
      </c>
    </row>
    <row r="172" spans="1:44" ht="63.75" x14ac:dyDescent="0.25">
      <c r="A172" s="2048"/>
      <c r="B172" s="2051"/>
      <c r="C172" s="2185"/>
      <c r="D172" s="2185"/>
      <c r="E172" s="2053"/>
      <c r="F172" s="753" t="s">
        <v>270</v>
      </c>
      <c r="G172" s="754" t="s">
        <v>271</v>
      </c>
      <c r="H172" s="755" t="s">
        <v>272</v>
      </c>
      <c r="I172" s="760" t="s">
        <v>273</v>
      </c>
      <c r="J172" s="2055"/>
      <c r="K172" s="757" t="s">
        <v>261</v>
      </c>
      <c r="L172" s="758" t="s">
        <v>620</v>
      </c>
      <c r="M172" s="758" t="s">
        <v>621</v>
      </c>
      <c r="N172" s="758" t="s">
        <v>264</v>
      </c>
      <c r="O172" s="766" t="s">
        <v>264</v>
      </c>
      <c r="P172" s="760" t="s">
        <v>264</v>
      </c>
      <c r="Q172" s="760" t="s">
        <v>264</v>
      </c>
      <c r="R172" s="760" t="s">
        <v>264</v>
      </c>
      <c r="U172" s="775">
        <v>20000000</v>
      </c>
      <c r="V172" s="775">
        <v>20000000</v>
      </c>
      <c r="W172" s="775">
        <v>20000000</v>
      </c>
      <c r="X172" s="775">
        <v>20000000</v>
      </c>
      <c r="Y172" s="777">
        <f t="shared" si="53"/>
        <v>80000000</v>
      </c>
      <c r="Z172" s="1567"/>
      <c r="AA172" s="777"/>
      <c r="AB172" s="1562"/>
      <c r="AC172" s="777"/>
      <c r="AD172" s="777"/>
      <c r="AE172" s="1562"/>
      <c r="AF172" s="777"/>
      <c r="AG172" s="777"/>
      <c r="AH172" s="1567"/>
      <c r="AI172" s="777"/>
      <c r="AJ172" s="777"/>
      <c r="AK172" s="1567"/>
      <c r="AL172" s="777"/>
      <c r="AM172" s="777">
        <f>+Y172</f>
        <v>80000000</v>
      </c>
      <c r="AN172" s="1567"/>
      <c r="AP172" s="123">
        <f t="shared" si="62"/>
        <v>80000000</v>
      </c>
      <c r="AQ172" s="18" t="str">
        <f t="shared" si="49"/>
        <v>Bien</v>
      </c>
      <c r="AR172" s="1153" t="s">
        <v>1202</v>
      </c>
    </row>
    <row r="173" spans="1:44" ht="29.25" customHeight="1" x14ac:dyDescent="0.25">
      <c r="A173" s="2048"/>
      <c r="B173" s="2051"/>
      <c r="C173" s="2185"/>
      <c r="D173" s="2185"/>
      <c r="E173" s="2053"/>
      <c r="F173" s="2056" t="s">
        <v>972</v>
      </c>
      <c r="G173" s="2057" t="s">
        <v>274</v>
      </c>
      <c r="H173" s="2058">
        <v>0</v>
      </c>
      <c r="I173" s="2058">
        <v>1</v>
      </c>
      <c r="J173" s="2059" t="s">
        <v>973</v>
      </c>
      <c r="K173" s="767" t="s">
        <v>1031</v>
      </c>
      <c r="L173" s="758" t="s">
        <v>26</v>
      </c>
      <c r="M173" s="761">
        <v>0</v>
      </c>
      <c r="N173" s="761">
        <v>1</v>
      </c>
      <c r="O173" s="762">
        <v>1</v>
      </c>
      <c r="P173" s="762"/>
      <c r="Q173" s="762"/>
      <c r="R173" s="762"/>
      <c r="U173" s="775">
        <v>2520000000</v>
      </c>
      <c r="V173" s="775"/>
      <c r="W173" s="775"/>
      <c r="X173" s="775"/>
      <c r="Y173" s="777">
        <f t="shared" si="53"/>
        <v>2520000000</v>
      </c>
      <c r="Z173" s="1567"/>
      <c r="AA173" s="777"/>
      <c r="AB173" s="1562"/>
      <c r="AC173" s="777"/>
      <c r="AD173" s="777">
        <f>+Y173</f>
        <v>2520000000</v>
      </c>
      <c r="AE173" s="1562"/>
      <c r="AF173" s="777"/>
      <c r="AG173" s="777"/>
      <c r="AH173" s="1567"/>
      <c r="AI173" s="777"/>
      <c r="AJ173" s="777"/>
      <c r="AK173" s="1567"/>
      <c r="AL173" s="777"/>
      <c r="AM173" s="777"/>
      <c r="AN173" s="1567"/>
      <c r="AP173" s="123">
        <f t="shared" si="62"/>
        <v>2520000000</v>
      </c>
      <c r="AQ173" s="18" t="str">
        <f t="shared" si="49"/>
        <v>Bien</v>
      </c>
      <c r="AR173" s="1153" t="s">
        <v>1202</v>
      </c>
    </row>
    <row r="174" spans="1:44" ht="25.5" customHeight="1" x14ac:dyDescent="0.25">
      <c r="A174" s="2048"/>
      <c r="B174" s="2051"/>
      <c r="C174" s="2185"/>
      <c r="D174" s="2185"/>
      <c r="E174" s="2053"/>
      <c r="F174" s="1570"/>
      <c r="G174" s="1572"/>
      <c r="H174" s="1574"/>
      <c r="I174" s="1574"/>
      <c r="J174" s="2060"/>
      <c r="K174" s="767" t="s">
        <v>275</v>
      </c>
      <c r="L174" s="758" t="s">
        <v>26</v>
      </c>
      <c r="M174" s="761">
        <v>0</v>
      </c>
      <c r="N174" s="761">
        <v>1</v>
      </c>
      <c r="O174" s="762">
        <v>0.8</v>
      </c>
      <c r="P174" s="762">
        <v>0.2</v>
      </c>
      <c r="Q174" s="762"/>
      <c r="R174" s="762"/>
      <c r="U174" s="775">
        <v>22000000</v>
      </c>
      <c r="V174" s="775"/>
      <c r="W174" s="775"/>
      <c r="X174" s="775"/>
      <c r="Y174" s="777">
        <f t="shared" si="53"/>
        <v>22000000</v>
      </c>
      <c r="Z174" s="1567"/>
      <c r="AA174" s="777"/>
      <c r="AB174" s="1562"/>
      <c r="AC174" s="777"/>
      <c r="AD174" s="777">
        <f t="shared" ref="AD174:AD175" si="71">+Y174</f>
        <v>22000000</v>
      </c>
      <c r="AE174" s="1562"/>
      <c r="AF174" s="777"/>
      <c r="AG174" s="777"/>
      <c r="AH174" s="1567"/>
      <c r="AI174" s="777"/>
      <c r="AJ174" s="777"/>
      <c r="AK174" s="1567"/>
      <c r="AL174" s="777"/>
      <c r="AM174" s="777"/>
      <c r="AN174" s="1567"/>
      <c r="AP174" s="123">
        <f t="shared" si="62"/>
        <v>22000000</v>
      </c>
      <c r="AQ174" s="18" t="str">
        <f t="shared" si="49"/>
        <v>Bien</v>
      </c>
      <c r="AR174" s="1153" t="s">
        <v>1202</v>
      </c>
    </row>
    <row r="175" spans="1:44" ht="21.75" customHeight="1" x14ac:dyDescent="0.25">
      <c r="A175" s="2048"/>
      <c r="B175" s="2051"/>
      <c r="C175" s="2185"/>
      <c r="D175" s="2185"/>
      <c r="E175" s="2053"/>
      <c r="F175" s="1570"/>
      <c r="G175" s="1572"/>
      <c r="H175" s="1574"/>
      <c r="I175" s="1574"/>
      <c r="J175" s="2060"/>
      <c r="K175" s="767" t="s">
        <v>276</v>
      </c>
      <c r="L175" s="758" t="s">
        <v>26</v>
      </c>
      <c r="M175" s="761">
        <v>0</v>
      </c>
      <c r="N175" s="761">
        <v>1</v>
      </c>
      <c r="O175" s="762">
        <v>1</v>
      </c>
      <c r="P175" s="762"/>
      <c r="Q175" s="762"/>
      <c r="R175" s="762"/>
      <c r="U175" s="775">
        <v>250000000</v>
      </c>
      <c r="V175" s="776"/>
      <c r="W175" s="776"/>
      <c r="X175" s="776"/>
      <c r="Y175" s="777">
        <f t="shared" si="53"/>
        <v>250000000</v>
      </c>
      <c r="Z175" s="1567"/>
      <c r="AA175" s="777"/>
      <c r="AB175" s="1562"/>
      <c r="AC175" s="777"/>
      <c r="AD175" s="777">
        <f t="shared" si="71"/>
        <v>250000000</v>
      </c>
      <c r="AE175" s="1562"/>
      <c r="AF175" s="777"/>
      <c r="AG175" s="777"/>
      <c r="AH175" s="1567"/>
      <c r="AI175" s="777"/>
      <c r="AJ175" s="777"/>
      <c r="AK175" s="1567"/>
      <c r="AL175" s="777"/>
      <c r="AM175" s="777"/>
      <c r="AN175" s="1567"/>
      <c r="AP175" s="123">
        <f t="shared" si="62"/>
        <v>250000000</v>
      </c>
      <c r="AQ175" s="18" t="str">
        <f t="shared" si="49"/>
        <v>Bien</v>
      </c>
      <c r="AR175" s="1153" t="s">
        <v>1202</v>
      </c>
    </row>
    <row r="176" spans="1:44" ht="21.75" customHeight="1" x14ac:dyDescent="0.25">
      <c r="A176" s="2048"/>
      <c r="B176" s="2051"/>
      <c r="C176" s="2185"/>
      <c r="D176" s="2185"/>
      <c r="E176" s="2053"/>
      <c r="F176" s="1570"/>
      <c r="G176" s="1572"/>
      <c r="H176" s="1574"/>
      <c r="I176" s="1574"/>
      <c r="J176" s="2060"/>
      <c r="K176" s="767" t="s">
        <v>277</v>
      </c>
      <c r="L176" s="758" t="s">
        <v>26</v>
      </c>
      <c r="M176" s="761">
        <v>0</v>
      </c>
      <c r="N176" s="761">
        <v>1</v>
      </c>
      <c r="O176" s="762"/>
      <c r="P176" s="762">
        <v>1</v>
      </c>
      <c r="Q176" s="762"/>
      <c r="R176" s="762"/>
      <c r="U176" s="775"/>
      <c r="V176" s="775">
        <v>22263856780</v>
      </c>
      <c r="W176" s="775"/>
      <c r="X176" s="775"/>
      <c r="Y176" s="777">
        <f t="shared" si="53"/>
        <v>22263856780</v>
      </c>
      <c r="Z176" s="1567"/>
      <c r="AA176" s="777"/>
      <c r="AB176" s="1562"/>
      <c r="AC176" s="777"/>
      <c r="AD176" s="777">
        <f>+Y176-AJ176</f>
        <v>16677377268</v>
      </c>
      <c r="AE176" s="1562"/>
      <c r="AF176" s="777"/>
      <c r="AG176" s="777"/>
      <c r="AH176" s="1567"/>
      <c r="AI176" s="777"/>
      <c r="AJ176" s="777">
        <v>5586479512</v>
      </c>
      <c r="AK176" s="1567"/>
      <c r="AL176" s="777"/>
      <c r="AM176" s="777"/>
      <c r="AN176" s="1567"/>
      <c r="AP176" s="123">
        <f t="shared" si="62"/>
        <v>22263856780</v>
      </c>
      <c r="AQ176" s="18" t="str">
        <f t="shared" si="49"/>
        <v>Bien</v>
      </c>
      <c r="AR176" s="1153" t="s">
        <v>1202</v>
      </c>
    </row>
    <row r="177" spans="1:44" ht="24" customHeight="1" x14ac:dyDescent="0.25">
      <c r="A177" s="2048"/>
      <c r="B177" s="2051"/>
      <c r="C177" s="2185"/>
      <c r="D177" s="2185"/>
      <c r="E177" s="2053"/>
      <c r="F177" s="1569" t="s">
        <v>278</v>
      </c>
      <c r="G177" s="1571" t="s">
        <v>279</v>
      </c>
      <c r="H177" s="1573">
        <v>0</v>
      </c>
      <c r="I177" s="1573">
        <v>3</v>
      </c>
      <c r="J177" s="2054" t="s">
        <v>622</v>
      </c>
      <c r="K177" s="757" t="s">
        <v>280</v>
      </c>
      <c r="L177" s="758" t="s">
        <v>620</v>
      </c>
      <c r="M177" s="758">
        <v>0</v>
      </c>
      <c r="N177" s="769">
        <v>1</v>
      </c>
      <c r="O177" s="762">
        <v>0.3</v>
      </c>
      <c r="P177" s="762">
        <v>0.7</v>
      </c>
      <c r="Q177" s="762"/>
      <c r="R177" s="762"/>
      <c r="U177" s="775">
        <v>60000000</v>
      </c>
      <c r="V177" s="775">
        <v>140000000</v>
      </c>
      <c r="W177" s="775"/>
      <c r="X177" s="775"/>
      <c r="Y177" s="777">
        <f t="shared" si="53"/>
        <v>200000000</v>
      </c>
      <c r="Z177" s="1567"/>
      <c r="AA177" s="777"/>
      <c r="AB177" s="1562"/>
      <c r="AC177" s="777"/>
      <c r="AD177" s="777"/>
      <c r="AE177" s="1562"/>
      <c r="AF177" s="777"/>
      <c r="AG177" s="777"/>
      <c r="AH177" s="1567"/>
      <c r="AI177" s="777"/>
      <c r="AJ177" s="777"/>
      <c r="AK177" s="1567"/>
      <c r="AL177" s="777"/>
      <c r="AM177" s="777">
        <f>+Y177</f>
        <v>200000000</v>
      </c>
      <c r="AN177" s="1567"/>
      <c r="AP177" s="123">
        <f t="shared" si="62"/>
        <v>200000000</v>
      </c>
      <c r="AQ177" s="18" t="str">
        <f t="shared" si="49"/>
        <v>Bien</v>
      </c>
      <c r="AR177" s="1153" t="s">
        <v>1202</v>
      </c>
    </row>
    <row r="178" spans="1:44" ht="51" x14ac:dyDescent="0.25">
      <c r="A178" s="2048"/>
      <c r="B178" s="2051"/>
      <c r="C178" s="2185"/>
      <c r="D178" s="2185"/>
      <c r="E178" s="2053"/>
      <c r="F178" s="1570"/>
      <c r="G178" s="1572"/>
      <c r="H178" s="1574"/>
      <c r="I178" s="1574"/>
      <c r="J178" s="2060"/>
      <c r="K178" s="757" t="s">
        <v>974</v>
      </c>
      <c r="L178" s="758" t="s">
        <v>620</v>
      </c>
      <c r="M178" s="758">
        <v>0</v>
      </c>
      <c r="N178" s="769">
        <v>1</v>
      </c>
      <c r="O178" s="762">
        <v>0.2</v>
      </c>
      <c r="P178" s="762">
        <v>0.4</v>
      </c>
      <c r="Q178" s="762">
        <v>0.3</v>
      </c>
      <c r="R178" s="762">
        <v>0.1</v>
      </c>
      <c r="U178" s="775">
        <v>600000000</v>
      </c>
      <c r="V178" s="775">
        <v>1200000000</v>
      </c>
      <c r="W178" s="775">
        <v>900000000</v>
      </c>
      <c r="X178" s="775">
        <v>300000000</v>
      </c>
      <c r="Y178" s="777">
        <f t="shared" si="53"/>
        <v>3000000000</v>
      </c>
      <c r="Z178" s="1567"/>
      <c r="AA178" s="777"/>
      <c r="AB178" s="1562"/>
      <c r="AC178" s="777"/>
      <c r="AD178" s="777"/>
      <c r="AE178" s="1562"/>
      <c r="AF178" s="777"/>
      <c r="AG178" s="777"/>
      <c r="AH178" s="1567"/>
      <c r="AI178" s="777"/>
      <c r="AJ178" s="777"/>
      <c r="AK178" s="1567"/>
      <c r="AL178" s="777"/>
      <c r="AM178" s="777">
        <f t="shared" ref="AM178:AM179" si="72">+Y178</f>
        <v>3000000000</v>
      </c>
      <c r="AN178" s="1567"/>
      <c r="AP178" s="123">
        <f t="shared" si="62"/>
        <v>3000000000</v>
      </c>
      <c r="AQ178" s="18" t="str">
        <f t="shared" si="49"/>
        <v>Bien</v>
      </c>
      <c r="AR178" s="1153" t="s">
        <v>1202</v>
      </c>
    </row>
    <row r="179" spans="1:44" ht="27.75" customHeight="1" thickBot="1" x14ac:dyDescent="0.3">
      <c r="A179" s="2048"/>
      <c r="B179" s="2051"/>
      <c r="C179" s="2185"/>
      <c r="D179" s="2185"/>
      <c r="E179" s="2053"/>
      <c r="F179" s="1570"/>
      <c r="G179" s="1572"/>
      <c r="H179" s="1574"/>
      <c r="I179" s="1574"/>
      <c r="J179" s="2060"/>
      <c r="K179" s="757" t="s">
        <v>281</v>
      </c>
      <c r="L179" s="758" t="s">
        <v>620</v>
      </c>
      <c r="M179" s="758">
        <v>0</v>
      </c>
      <c r="N179" s="769">
        <v>1</v>
      </c>
      <c r="O179" s="762">
        <v>0.3</v>
      </c>
      <c r="P179" s="762">
        <v>0.7</v>
      </c>
      <c r="Q179" s="762"/>
      <c r="R179" s="762"/>
      <c r="U179" s="775">
        <v>90000000</v>
      </c>
      <c r="V179" s="775">
        <v>210000000</v>
      </c>
      <c r="W179" s="775"/>
      <c r="X179" s="775"/>
      <c r="Y179" s="777">
        <f t="shared" si="53"/>
        <v>300000000</v>
      </c>
      <c r="Z179" s="1568"/>
      <c r="AA179" s="777"/>
      <c r="AB179" s="1563"/>
      <c r="AC179" s="777"/>
      <c r="AD179" s="777"/>
      <c r="AE179" s="1563"/>
      <c r="AF179" s="777"/>
      <c r="AG179" s="777"/>
      <c r="AH179" s="1568"/>
      <c r="AI179" s="777"/>
      <c r="AJ179" s="777"/>
      <c r="AK179" s="1568"/>
      <c r="AL179" s="777"/>
      <c r="AM179" s="777">
        <f t="shared" si="72"/>
        <v>300000000</v>
      </c>
      <c r="AN179" s="1568"/>
      <c r="AP179" s="123">
        <f t="shared" si="62"/>
        <v>300000000</v>
      </c>
      <c r="AQ179" s="18" t="str">
        <f t="shared" ref="AQ179" si="73">+IF(Y179=AP179,"Bien","Error")</f>
        <v>Bien</v>
      </c>
      <c r="AR179" s="1153" t="s">
        <v>1202</v>
      </c>
    </row>
    <row r="180" spans="1:44" ht="32.25" customHeight="1" x14ac:dyDescent="0.25">
      <c r="A180" s="2048"/>
      <c r="B180" s="1586" t="s">
        <v>282</v>
      </c>
      <c r="C180" s="2215">
        <v>4001</v>
      </c>
      <c r="D180" s="2215" t="s">
        <v>1092</v>
      </c>
      <c r="E180" s="1588" t="s">
        <v>283</v>
      </c>
      <c r="F180" s="1589" t="s">
        <v>284</v>
      </c>
      <c r="G180" s="1590" t="s">
        <v>285</v>
      </c>
      <c r="H180" s="1590">
        <v>12550</v>
      </c>
      <c r="I180" s="1591">
        <v>2663</v>
      </c>
      <c r="J180" s="246" t="s">
        <v>873</v>
      </c>
      <c r="K180" s="236" t="s">
        <v>1143</v>
      </c>
      <c r="L180" s="237" t="s">
        <v>623</v>
      </c>
      <c r="M180" s="237">
        <v>172</v>
      </c>
      <c r="N180" s="237">
        <v>656</v>
      </c>
      <c r="O180" s="231">
        <v>56</v>
      </c>
      <c r="P180" s="127">
        <v>400</v>
      </c>
      <c r="Q180" s="127">
        <v>200</v>
      </c>
      <c r="R180" s="127">
        <v>0</v>
      </c>
      <c r="S180" s="128">
        <f t="shared" ref="S180:S199" si="74">+SUM(O180:R180)</f>
        <v>656</v>
      </c>
      <c r="T180" s="128">
        <f t="shared" ref="T180:T199" si="75">+SUM(O180:R180)</f>
        <v>656</v>
      </c>
      <c r="U180" s="129">
        <f>'[1]CON %'!$G$6+'[1]CON %'!$K$6+'[1]CON %'!$L$6</f>
        <v>4202078073.1199999</v>
      </c>
      <c r="V180" s="129">
        <f>'[1]CON %'!$G$10+'[1]CON %'!$K$10+'[1]CON %'!$L$10</f>
        <v>38623332000</v>
      </c>
      <c r="W180" s="129">
        <f>'[1]CON %'!$G$8+'[1]CON %'!$K$8+'[1]CON %'!$L$8</f>
        <v>15449332800</v>
      </c>
      <c r="X180" s="129">
        <v>0</v>
      </c>
      <c r="Y180" s="130">
        <f t="shared" si="53"/>
        <v>58274742873.120003</v>
      </c>
      <c r="Z180" s="1584">
        <f>+SUM(Y180:Y187)</f>
        <v>1073619610918.12</v>
      </c>
      <c r="AA180" s="129">
        <f>'[1]CON %'!$G$6+'[1]CON %'!$G$8+'[1]CON %'!$G$10</f>
        <v>2331444768</v>
      </c>
      <c r="AB180" s="1585">
        <f>+SUM(AA180:AA187)</f>
        <v>17628509068</v>
      </c>
      <c r="AC180" s="131">
        <f t="shared" si="50"/>
        <v>4.0007808753033725E-2</v>
      </c>
      <c r="AD180" s="129">
        <f>'[1]CON %'!$I$6+'[1]CON %'!$I$8+'[1]CON %'!$I$10</f>
        <v>0</v>
      </c>
      <c r="AE180" s="1585">
        <f>+SUM(AD180:AD187)</f>
        <v>10145647074</v>
      </c>
      <c r="AF180" s="131">
        <f t="shared" si="66"/>
        <v>0</v>
      </c>
      <c r="AG180" s="129">
        <f>'[1]CON %'!$J$6++'[1]CON %'!$J$10</f>
        <v>0</v>
      </c>
      <c r="AH180" s="1584">
        <f>+SUM(AG180:AG187)</f>
        <v>265616165376</v>
      </c>
      <c r="AI180" s="131">
        <f t="shared" ref="AI180:AI194" si="76">+AG180/Y180</f>
        <v>0</v>
      </c>
      <c r="AJ180" s="129">
        <v>0</v>
      </c>
      <c r="AK180" s="1584">
        <f>+SUM(AJ180:AJ187)</f>
        <v>0</v>
      </c>
      <c r="AL180" s="131">
        <f t="shared" si="68"/>
        <v>0</v>
      </c>
      <c r="AM180" s="129">
        <f>'[1]CON %'!$K$6+'[1]CON %'!$K$8+'[1]CON %'!$K$10+'[1]CON %'!$L$6+'[1]CON %'!$L$8+'[1]CON %'!$L$10</f>
        <v>55943298105.119995</v>
      </c>
      <c r="AN180" s="1584">
        <f>+SUM(AM180:AM187)</f>
        <v>780229289400.12</v>
      </c>
      <c r="AO180" s="131">
        <f t="shared" ref="AO180:AO199" si="77">+AM180/Y180</f>
        <v>0.95999219124696611</v>
      </c>
      <c r="AP180" s="1001">
        <f t="shared" si="62"/>
        <v>58274742873.119995</v>
      </c>
      <c r="AQ180" s="18" t="str">
        <f t="shared" ref="AQ180:AQ213" si="78">+IF(Y180=AP180,"Bien","Error")</f>
        <v>Bien</v>
      </c>
      <c r="AR180" s="1152" t="s">
        <v>1254</v>
      </c>
    </row>
    <row r="181" spans="1:44" ht="89.25" x14ac:dyDescent="0.25">
      <c r="A181" s="2048"/>
      <c r="B181" s="1587"/>
      <c r="C181" s="2215"/>
      <c r="D181" s="2215"/>
      <c r="E181" s="1588"/>
      <c r="F181" s="1589"/>
      <c r="G181" s="1590"/>
      <c r="H181" s="1590"/>
      <c r="I181" s="1591"/>
      <c r="J181" s="246" t="s">
        <v>287</v>
      </c>
      <c r="K181" s="236" t="s">
        <v>288</v>
      </c>
      <c r="L181" s="237" t="s">
        <v>623</v>
      </c>
      <c r="M181" s="237">
        <v>180</v>
      </c>
      <c r="N181" s="238">
        <v>8938</v>
      </c>
      <c r="O181" s="232">
        <v>0</v>
      </c>
      <c r="P181" s="132">
        <v>1500</v>
      </c>
      <c r="Q181" s="132">
        <f>(N181-P181)/2</f>
        <v>3719</v>
      </c>
      <c r="R181" s="132">
        <f>(N181-P181)/2</f>
        <v>3719</v>
      </c>
      <c r="S181" s="133">
        <f t="shared" si="74"/>
        <v>8938</v>
      </c>
      <c r="T181" s="133">
        <f t="shared" si="75"/>
        <v>8938</v>
      </c>
      <c r="U181" s="134">
        <f>'[1]CON %'!$H$4</f>
        <v>2633409000</v>
      </c>
      <c r="V181" s="129">
        <f>P181*'[1]CON %'!$N$4-U181</f>
        <v>155234127734.72812</v>
      </c>
      <c r="W181" s="129">
        <f>Q181*'[1]CON %'!$N$4</f>
        <v>391406246077.63593</v>
      </c>
      <c r="X181" s="129">
        <f>W181</f>
        <v>391406246077.63593</v>
      </c>
      <c r="Y181" s="130">
        <f t="shared" si="53"/>
        <v>940680028890</v>
      </c>
      <c r="Z181" s="1584"/>
      <c r="AA181" s="135">
        <f>U181</f>
        <v>2633409000</v>
      </c>
      <c r="AB181" s="1585"/>
      <c r="AC181" s="131">
        <f t="shared" si="50"/>
        <v>2.7994736989445986E-3</v>
      </c>
      <c r="AD181" s="134">
        <f>'[1]CON %'!$I$4</f>
        <v>7845803214</v>
      </c>
      <c r="AE181" s="1585"/>
      <c r="AF181" s="131">
        <f t="shared" si="66"/>
        <v>8.3405653070556061E-3</v>
      </c>
      <c r="AG181" s="134">
        <f>'[1]CON %'!$J$4</f>
        <v>264123900276</v>
      </c>
      <c r="AH181" s="1584"/>
      <c r="AI181" s="131">
        <f t="shared" si="76"/>
        <v>0.28077974674094602</v>
      </c>
      <c r="AJ181" s="129">
        <v>0</v>
      </c>
      <c r="AK181" s="1584"/>
      <c r="AL181" s="131">
        <f t="shared" si="68"/>
        <v>0</v>
      </c>
      <c r="AM181" s="134">
        <f>'[1]CON %'!$K$4+'[1]CON %'!$L$4</f>
        <v>666076916400</v>
      </c>
      <c r="AN181" s="1584"/>
      <c r="AO181" s="131">
        <f t="shared" si="77"/>
        <v>0.70808021425305379</v>
      </c>
      <c r="AP181" s="1002">
        <f t="shared" si="62"/>
        <v>940680028890</v>
      </c>
      <c r="AQ181" s="18" t="str">
        <f t="shared" si="78"/>
        <v>Bien</v>
      </c>
      <c r="AR181" s="1152" t="s">
        <v>1255</v>
      </c>
    </row>
    <row r="182" spans="1:44" ht="39" x14ac:dyDescent="0.25">
      <c r="A182" s="2048"/>
      <c r="B182" s="1587"/>
      <c r="C182" s="2215"/>
      <c r="D182" s="2215"/>
      <c r="E182" s="1588"/>
      <c r="F182" s="1589"/>
      <c r="G182" s="1590"/>
      <c r="H182" s="1590"/>
      <c r="I182" s="1591"/>
      <c r="J182" s="247" t="s">
        <v>289</v>
      </c>
      <c r="K182" s="236" t="s">
        <v>624</v>
      </c>
      <c r="L182" s="237" t="s">
        <v>620</v>
      </c>
      <c r="M182" s="237">
        <v>0</v>
      </c>
      <c r="N182" s="237">
        <v>1</v>
      </c>
      <c r="O182" s="233">
        <v>0.1</v>
      </c>
      <c r="P182" s="136">
        <v>0.2</v>
      </c>
      <c r="Q182" s="136">
        <v>0.5</v>
      </c>
      <c r="R182" s="136">
        <v>0.2</v>
      </c>
      <c r="S182" s="137">
        <f t="shared" si="74"/>
        <v>1</v>
      </c>
      <c r="T182" s="137">
        <f t="shared" si="75"/>
        <v>1</v>
      </c>
      <c r="U182" s="134">
        <f>135000000+30000000000*0.05</f>
        <v>1635000000</v>
      </c>
      <c r="V182" s="134">
        <f>7000000*1.63*12+5*4000000*1.63*12+200000*12+900000*12+30000000000*0.05</f>
        <v>2041320000</v>
      </c>
      <c r="W182" s="129">
        <f>(V182*1.1)+30000000000*0.05</f>
        <v>3745452000</v>
      </c>
      <c r="X182" s="129">
        <f>(W182*1.2)+3000000000*0.05</f>
        <v>4644542400</v>
      </c>
      <c r="Y182" s="130">
        <f t="shared" si="53"/>
        <v>12066314400</v>
      </c>
      <c r="Z182" s="1584"/>
      <c r="AA182" s="129">
        <f>Y182</f>
        <v>12066314400</v>
      </c>
      <c r="AB182" s="1585"/>
      <c r="AC182" s="131">
        <f t="shared" si="50"/>
        <v>1</v>
      </c>
      <c r="AD182" s="138"/>
      <c r="AE182" s="1585"/>
      <c r="AF182" s="131">
        <f t="shared" si="66"/>
        <v>0</v>
      </c>
      <c r="AG182" s="138"/>
      <c r="AH182" s="1584"/>
      <c r="AI182" s="131">
        <f t="shared" si="76"/>
        <v>0</v>
      </c>
      <c r="AJ182" s="138"/>
      <c r="AK182" s="1584"/>
      <c r="AL182" s="131">
        <f t="shared" si="68"/>
        <v>0</v>
      </c>
      <c r="AM182" s="138"/>
      <c r="AN182" s="1584"/>
      <c r="AO182" s="131">
        <f t="shared" si="77"/>
        <v>0</v>
      </c>
      <c r="AP182" s="1002">
        <f t="shared" si="62"/>
        <v>12066314400</v>
      </c>
      <c r="AQ182" s="18" t="str">
        <f t="shared" si="78"/>
        <v>Bien</v>
      </c>
      <c r="AR182" s="1152" t="s">
        <v>1203</v>
      </c>
    </row>
    <row r="183" spans="1:44" ht="51" x14ac:dyDescent="0.25">
      <c r="A183" s="2048"/>
      <c r="B183" s="1587"/>
      <c r="C183" s="2215"/>
      <c r="D183" s="2215"/>
      <c r="E183" s="1588"/>
      <c r="F183" s="1589"/>
      <c r="G183" s="1590"/>
      <c r="H183" s="1590"/>
      <c r="I183" s="1591"/>
      <c r="J183" s="246" t="s">
        <v>625</v>
      </c>
      <c r="K183" s="245" t="s">
        <v>1050</v>
      </c>
      <c r="L183" s="237" t="s">
        <v>193</v>
      </c>
      <c r="M183" s="237">
        <v>0</v>
      </c>
      <c r="N183" s="237">
        <v>167</v>
      </c>
      <c r="O183" s="233">
        <v>0</v>
      </c>
      <c r="P183" s="132">
        <v>50</v>
      </c>
      <c r="Q183" s="132">
        <v>50</v>
      </c>
      <c r="R183" s="132">
        <v>67</v>
      </c>
      <c r="S183" s="137">
        <f t="shared" si="74"/>
        <v>167</v>
      </c>
      <c r="T183" s="137">
        <f t="shared" si="75"/>
        <v>167</v>
      </c>
      <c r="U183" s="134">
        <f>'[1]CON %'!$G$14</f>
        <v>263340900</v>
      </c>
      <c r="V183" s="134">
        <f>'[1]CON %'!$N$12*P183</f>
        <v>3072310500</v>
      </c>
      <c r="W183" s="134">
        <f>'[1]CON %'!$N$12*Q183</f>
        <v>3072310500</v>
      </c>
      <c r="X183" s="134">
        <f>'[1]CON %'!$N$12*R183</f>
        <v>4116896070</v>
      </c>
      <c r="Y183" s="130">
        <f t="shared" si="53"/>
        <v>10524857970</v>
      </c>
      <c r="Z183" s="1584"/>
      <c r="AA183" s="129">
        <f>'[1]CON %'!$G$12</f>
        <v>334000000</v>
      </c>
      <c r="AB183" s="1585"/>
      <c r="AC183" s="131">
        <f t="shared" si="50"/>
        <v>3.1734394986804748E-2</v>
      </c>
      <c r="AD183" s="129">
        <f>'[1]CON %'!$I$12</f>
        <v>0</v>
      </c>
      <c r="AE183" s="1585"/>
      <c r="AF183" s="131">
        <f t="shared" si="66"/>
        <v>0</v>
      </c>
      <c r="AG183" s="129">
        <f>'[1]CON %'!$J$12</f>
        <v>0</v>
      </c>
      <c r="AH183" s="1584"/>
      <c r="AI183" s="131">
        <f t="shared" si="76"/>
        <v>0</v>
      </c>
      <c r="AJ183" s="129">
        <f>'[1]CON %'!$H$12</f>
        <v>0</v>
      </c>
      <c r="AK183" s="1584"/>
      <c r="AL183" s="131">
        <f t="shared" si="68"/>
        <v>0</v>
      </c>
      <c r="AM183" s="129">
        <v>10190857970</v>
      </c>
      <c r="AN183" s="1584"/>
      <c r="AO183" s="131">
        <f t="shared" si="77"/>
        <v>0.96826560501319525</v>
      </c>
      <c r="AP183" s="1002">
        <f t="shared" si="62"/>
        <v>10524857970</v>
      </c>
      <c r="AQ183" s="18" t="str">
        <f t="shared" si="78"/>
        <v>Bien</v>
      </c>
      <c r="AR183" s="1154" t="s">
        <v>1204</v>
      </c>
    </row>
    <row r="184" spans="1:44" ht="25.5" x14ac:dyDescent="0.25">
      <c r="A184" s="2048"/>
      <c r="B184" s="1587"/>
      <c r="C184" s="2215"/>
      <c r="D184" s="2215"/>
      <c r="E184" s="1588"/>
      <c r="F184" s="1589"/>
      <c r="G184" s="1590"/>
      <c r="H184" s="1590"/>
      <c r="I184" s="1591"/>
      <c r="J184" s="246" t="s">
        <v>1144</v>
      </c>
      <c r="K184" s="875" t="s">
        <v>626</v>
      </c>
      <c r="L184" s="237" t="s">
        <v>1051</v>
      </c>
      <c r="M184" s="237">
        <v>0</v>
      </c>
      <c r="N184" s="237">
        <v>1</v>
      </c>
      <c r="O184" s="233">
        <f>'[1]CON %'!$G$15/100</f>
        <v>2.6785714285714284E-2</v>
      </c>
      <c r="P184" s="136">
        <f>'[1]CON %'!$K$15/100</f>
        <v>0.7053571428571429</v>
      </c>
      <c r="Q184" s="136">
        <f>'[1]CON %'!$L$15/100</f>
        <v>0.26785714285714285</v>
      </c>
      <c r="R184" s="136">
        <v>0</v>
      </c>
      <c r="S184" s="137">
        <f t="shared" si="74"/>
        <v>1</v>
      </c>
      <c r="T184" s="137">
        <f t="shared" si="75"/>
        <v>1</v>
      </c>
      <c r="U184" s="134">
        <f>O184*'[1]CON %'!$M$14</f>
        <v>263340900</v>
      </c>
      <c r="V184" s="134">
        <f>P184*'[1]CON %'!$M$14</f>
        <v>6934643700</v>
      </c>
      <c r="W184" s="134">
        <f>Q184*'[1]CON %'!$M$14</f>
        <v>2633409000</v>
      </c>
      <c r="X184" s="134">
        <f>0</f>
        <v>0</v>
      </c>
      <c r="Y184" s="130">
        <f t="shared" si="53"/>
        <v>9831393600</v>
      </c>
      <c r="Z184" s="1584"/>
      <c r="AA184" s="129">
        <f>'[1]CON %'!$G$14</f>
        <v>263340900</v>
      </c>
      <c r="AB184" s="1585"/>
      <c r="AC184" s="131">
        <f t="shared" si="50"/>
        <v>2.6785714285714284E-2</v>
      </c>
      <c r="AD184" s="129">
        <f>'[1]CON %'!$I$14</f>
        <v>0</v>
      </c>
      <c r="AE184" s="1585"/>
      <c r="AF184" s="131">
        <f t="shared" si="66"/>
        <v>0</v>
      </c>
      <c r="AG184" s="129">
        <f>'[1]CON %'!$J$14</f>
        <v>0</v>
      </c>
      <c r="AH184" s="1584"/>
      <c r="AI184" s="131">
        <f t="shared" si="76"/>
        <v>0</v>
      </c>
      <c r="AJ184" s="129">
        <f>'[1]CON %'!$H$14</f>
        <v>0</v>
      </c>
      <c r="AK184" s="1584"/>
      <c r="AL184" s="131">
        <f t="shared" si="68"/>
        <v>0</v>
      </c>
      <c r="AM184" s="129">
        <f>'[1]CON %'!$K$14+'[1]CON %'!$L$14</f>
        <v>9568052700</v>
      </c>
      <c r="AN184" s="1584"/>
      <c r="AO184" s="131">
        <f t="shared" si="77"/>
        <v>0.9732142857142857</v>
      </c>
      <c r="AP184" s="1002">
        <f t="shared" si="62"/>
        <v>9831393600</v>
      </c>
      <c r="AQ184" s="18" t="str">
        <f t="shared" si="78"/>
        <v>Bien</v>
      </c>
      <c r="AR184" s="1152" t="s">
        <v>1203</v>
      </c>
    </row>
    <row r="185" spans="1:44" ht="31.5" customHeight="1" x14ac:dyDescent="0.25">
      <c r="A185" s="2048"/>
      <c r="B185" s="1587"/>
      <c r="C185" s="2215"/>
      <c r="D185" s="2215"/>
      <c r="E185" s="1588"/>
      <c r="F185" s="1589"/>
      <c r="G185" s="1590"/>
      <c r="H185" s="1590"/>
      <c r="I185" s="1591"/>
      <c r="J185" s="246" t="s">
        <v>628</v>
      </c>
      <c r="K185" s="875" t="s">
        <v>1052</v>
      </c>
      <c r="L185" s="237" t="s">
        <v>627</v>
      </c>
      <c r="M185" s="237">
        <v>0</v>
      </c>
      <c r="N185" s="237">
        <v>11</v>
      </c>
      <c r="O185" s="233">
        <v>0</v>
      </c>
      <c r="P185" s="136">
        <v>11</v>
      </c>
      <c r="Q185" s="136">
        <v>0</v>
      </c>
      <c r="R185" s="136">
        <v>0</v>
      </c>
      <c r="S185" s="137">
        <f t="shared" si="74"/>
        <v>11</v>
      </c>
      <c r="T185" s="137">
        <f t="shared" si="75"/>
        <v>11</v>
      </c>
      <c r="U185" s="134">
        <v>0</v>
      </c>
      <c r="V185" s="134">
        <f>'[1]CON %'!$L$16</f>
        <v>493962505</v>
      </c>
      <c r="W185" s="134">
        <v>0</v>
      </c>
      <c r="X185" s="134">
        <v>0</v>
      </c>
      <c r="Y185" s="130">
        <f t="shared" si="53"/>
        <v>493962505</v>
      </c>
      <c r="Z185" s="1584"/>
      <c r="AA185" s="129">
        <v>0</v>
      </c>
      <c r="AB185" s="1585"/>
      <c r="AC185" s="131">
        <f t="shared" si="50"/>
        <v>0</v>
      </c>
      <c r="AD185" s="129">
        <v>0</v>
      </c>
      <c r="AE185" s="1585"/>
      <c r="AF185" s="131">
        <f t="shared" si="66"/>
        <v>0</v>
      </c>
      <c r="AG185" s="129">
        <v>0</v>
      </c>
      <c r="AH185" s="1584"/>
      <c r="AI185" s="131">
        <f t="shared" si="76"/>
        <v>0</v>
      </c>
      <c r="AJ185" s="129">
        <v>0</v>
      </c>
      <c r="AK185" s="1584"/>
      <c r="AL185" s="131">
        <f t="shared" si="68"/>
        <v>0</v>
      </c>
      <c r="AM185" s="129">
        <f>'[1]CON %'!$M$16</f>
        <v>493962505</v>
      </c>
      <c r="AN185" s="1584"/>
      <c r="AO185" s="131">
        <f t="shared" si="77"/>
        <v>1</v>
      </c>
      <c r="AP185" s="1002">
        <f t="shared" si="62"/>
        <v>493962505</v>
      </c>
      <c r="AQ185" s="18" t="str">
        <f t="shared" si="78"/>
        <v>Bien</v>
      </c>
      <c r="AR185" s="1152" t="s">
        <v>1203</v>
      </c>
    </row>
    <row r="186" spans="1:44" ht="38.25" x14ac:dyDescent="0.25">
      <c r="A186" s="2048"/>
      <c r="B186" s="1587"/>
      <c r="C186" s="2215"/>
      <c r="D186" s="2215"/>
      <c r="E186" s="1588"/>
      <c r="F186" s="1589"/>
      <c r="G186" s="1590"/>
      <c r="H186" s="1590"/>
      <c r="I186" s="1591"/>
      <c r="J186" s="246" t="s">
        <v>629</v>
      </c>
      <c r="K186" s="236" t="s">
        <v>1053</v>
      </c>
      <c r="L186" s="237" t="s">
        <v>872</v>
      </c>
      <c r="M186" s="237">
        <v>0</v>
      </c>
      <c r="N186" s="237">
        <v>2</v>
      </c>
      <c r="O186" s="233">
        <v>0</v>
      </c>
      <c r="P186" s="136">
        <v>0</v>
      </c>
      <c r="Q186" s="136">
        <v>0</v>
      </c>
      <c r="R186" s="136">
        <v>2</v>
      </c>
      <c r="S186" s="137">
        <f t="shared" si="74"/>
        <v>2</v>
      </c>
      <c r="T186" s="137">
        <f t="shared" si="75"/>
        <v>2</v>
      </c>
      <c r="U186" s="134">
        <f>'[1]CON %'!$K$18*0.1</f>
        <v>2336711586</v>
      </c>
      <c r="V186" s="134">
        <f>'[1]CON %'!$I$18</f>
        <v>2124283260</v>
      </c>
      <c r="W186" s="134">
        <f>'[1]CON %'!$K$18*0.9+'[1]CON %'!$L$18</f>
        <v>33776103834</v>
      </c>
      <c r="X186" s="134">
        <f>0</f>
        <v>0</v>
      </c>
      <c r="Y186" s="130">
        <f t="shared" si="53"/>
        <v>38237098680</v>
      </c>
      <c r="Z186" s="1584"/>
      <c r="AA186" s="129">
        <v>0</v>
      </c>
      <c r="AB186" s="1585"/>
      <c r="AC186" s="131">
        <f t="shared" si="50"/>
        <v>0</v>
      </c>
      <c r="AD186" s="129">
        <f>'[1]CON %'!$I$18</f>
        <v>2124283260</v>
      </c>
      <c r="AE186" s="1585"/>
      <c r="AF186" s="131">
        <f t="shared" si="66"/>
        <v>5.5555555555555552E-2</v>
      </c>
      <c r="AG186" s="129">
        <v>0</v>
      </c>
      <c r="AH186" s="1584"/>
      <c r="AI186" s="131">
        <f t="shared" si="76"/>
        <v>0</v>
      </c>
      <c r="AJ186" s="129">
        <v>0</v>
      </c>
      <c r="AK186" s="1584"/>
      <c r="AL186" s="131">
        <f t="shared" si="68"/>
        <v>0</v>
      </c>
      <c r="AM186" s="129">
        <f>'[1]CON %'!$K$18+'[1]CON %'!$L$18</f>
        <v>36112815420</v>
      </c>
      <c r="AN186" s="1584"/>
      <c r="AO186" s="131">
        <f t="shared" si="77"/>
        <v>0.94444444444444442</v>
      </c>
      <c r="AP186" s="1002">
        <f t="shared" si="62"/>
        <v>38237098680</v>
      </c>
      <c r="AQ186" s="18" t="str">
        <f t="shared" si="78"/>
        <v>Bien</v>
      </c>
      <c r="AR186" s="1152" t="s">
        <v>1205</v>
      </c>
    </row>
    <row r="187" spans="1:44" ht="38.25" x14ac:dyDescent="0.25">
      <c r="A187" s="2048"/>
      <c r="B187" s="1587"/>
      <c r="C187" s="2215"/>
      <c r="D187" s="2215"/>
      <c r="E187" s="1588"/>
      <c r="F187" s="1589"/>
      <c r="G187" s="1590"/>
      <c r="H187" s="1590"/>
      <c r="I187" s="1591"/>
      <c r="J187" s="246" t="s">
        <v>1054</v>
      </c>
      <c r="K187" s="244" t="s">
        <v>1055</v>
      </c>
      <c r="L187" s="237" t="s">
        <v>620</v>
      </c>
      <c r="M187" s="237">
        <v>0</v>
      </c>
      <c r="N187" s="237">
        <v>100</v>
      </c>
      <c r="O187" s="232">
        <f>'[1]CON %'!$N$20*100*0.1/'[1]CON %'!$M$20*100</f>
        <v>10</v>
      </c>
      <c r="P187" s="132">
        <f>'[1]CON %'!$N$20*100*0.5/'[1]CON %'!$M$20*100</f>
        <v>50</v>
      </c>
      <c r="Q187" s="132">
        <f>'[1]CON %'!$N$20*100*0.2/'[1]CON %'!$M$20*100</f>
        <v>20</v>
      </c>
      <c r="R187" s="132">
        <f>'[1]CON %'!$N$20*100*0.2/'[1]CON %'!$M$20*100</f>
        <v>20</v>
      </c>
      <c r="S187" s="133">
        <f t="shared" si="74"/>
        <v>100</v>
      </c>
      <c r="T187" s="137">
        <f t="shared" si="75"/>
        <v>100</v>
      </c>
      <c r="U187" s="134">
        <f>O187*'[1]CON %'!$M$20/100</f>
        <v>351121200</v>
      </c>
      <c r="V187" s="134">
        <f>P187*'[1]CON %'!$M$20/100</f>
        <v>1755606000</v>
      </c>
      <c r="W187" s="134">
        <f>Q187*'[1]CON %'!$M$20/100</f>
        <v>702242400</v>
      </c>
      <c r="X187" s="134">
        <f>R187*'[1]CON %'!$M$20/100</f>
        <v>702242400</v>
      </c>
      <c r="Y187" s="130">
        <f t="shared" si="53"/>
        <v>3511212000</v>
      </c>
      <c r="Z187" s="1584"/>
      <c r="AA187" s="129">
        <f>'[1]CON %'!$G$20</f>
        <v>0</v>
      </c>
      <c r="AB187" s="1585"/>
      <c r="AC187" s="131">
        <f t="shared" si="50"/>
        <v>0</v>
      </c>
      <c r="AD187" s="134">
        <f>'[1]CON %'!$I$20</f>
        <v>175560600</v>
      </c>
      <c r="AE187" s="1585"/>
      <c r="AF187" s="131">
        <f t="shared" si="66"/>
        <v>0.05</v>
      </c>
      <c r="AG187" s="129">
        <f>'[1]CON %'!$J$20</f>
        <v>1492265100</v>
      </c>
      <c r="AH187" s="1584"/>
      <c r="AI187" s="131">
        <f t="shared" si="76"/>
        <v>0.42499999999999999</v>
      </c>
      <c r="AJ187" s="129">
        <v>0</v>
      </c>
      <c r="AK187" s="1584"/>
      <c r="AL187" s="131">
        <f t="shared" si="68"/>
        <v>0</v>
      </c>
      <c r="AM187" s="129">
        <f>'[1]CON %'!$K$20+'[1]CON %'!$L$20</f>
        <v>1843386300</v>
      </c>
      <c r="AN187" s="1584"/>
      <c r="AO187" s="131">
        <f t="shared" si="77"/>
        <v>0.52500000000000002</v>
      </c>
      <c r="AP187" s="1002">
        <f t="shared" si="62"/>
        <v>3511212000</v>
      </c>
      <c r="AQ187" s="18" t="str">
        <f t="shared" si="78"/>
        <v>Bien</v>
      </c>
      <c r="AR187" s="1152" t="s">
        <v>1203</v>
      </c>
    </row>
    <row r="188" spans="1:44" ht="51" x14ac:dyDescent="0.25">
      <c r="A188" s="2048"/>
      <c r="B188" s="1587"/>
      <c r="C188" s="2215"/>
      <c r="D188" s="2215"/>
      <c r="E188" s="1117" t="s">
        <v>290</v>
      </c>
      <c r="F188" s="1589"/>
      <c r="G188" s="1590"/>
      <c r="H188" s="1590"/>
      <c r="I188" s="1591"/>
      <c r="J188" s="248" t="s">
        <v>630</v>
      </c>
      <c r="K188" s="239" t="s">
        <v>291</v>
      </c>
      <c r="L188" s="237" t="s">
        <v>623</v>
      </c>
      <c r="M188" s="237">
        <v>642</v>
      </c>
      <c r="N188" s="238">
        <v>5356</v>
      </c>
      <c r="O188" s="234">
        <v>0</v>
      </c>
      <c r="P188" s="127">
        <v>100</v>
      </c>
      <c r="Q188" s="132">
        <v>2256</v>
      </c>
      <c r="R188" s="132">
        <v>3000</v>
      </c>
      <c r="S188" s="133">
        <f t="shared" si="74"/>
        <v>5356</v>
      </c>
      <c r="T188" s="133">
        <f t="shared" si="75"/>
        <v>5356</v>
      </c>
      <c r="U188" s="134">
        <v>0</v>
      </c>
      <c r="V188" s="134">
        <f>P188*'[1]CON %'!$O$25</f>
        <v>6144621000</v>
      </c>
      <c r="W188" s="129">
        <f>Q188*'[1]CON %'!$O$25</f>
        <v>138622649760</v>
      </c>
      <c r="X188" s="129">
        <f>R188*'[1]CON %'!$O$25</f>
        <v>184338630000</v>
      </c>
      <c r="Y188" s="130">
        <f t="shared" ref="Y188:Y212" si="79">+U188+V188+W188+X188</f>
        <v>329105900760</v>
      </c>
      <c r="Z188" s="139">
        <f>+SUM(Y188)</f>
        <v>329105900760</v>
      </c>
      <c r="AA188" s="134">
        <f>'[1]CON %'!$G$23</f>
        <v>13477787262</v>
      </c>
      <c r="AB188" s="1048">
        <f>+SUM(AA188)</f>
        <v>13477787262</v>
      </c>
      <c r="AC188" s="131">
        <f t="shared" si="50"/>
        <v>4.0952736583804543E-2</v>
      </c>
      <c r="AD188" s="134">
        <f>'[1]CON %'!$I$23</f>
        <v>44925957540</v>
      </c>
      <c r="AE188" s="1048">
        <f>+SUM(AD188)</f>
        <v>44925957540</v>
      </c>
      <c r="AF188" s="131">
        <f t="shared" si="66"/>
        <v>0.13650912194601514</v>
      </c>
      <c r="AG188" s="134">
        <f>'[1]CON %'!$J$23</f>
        <v>80866723572</v>
      </c>
      <c r="AH188" s="321">
        <f>+SUM(AG188)</f>
        <v>80866723572</v>
      </c>
      <c r="AI188" s="131">
        <f t="shared" si="76"/>
        <v>0.24571641950282727</v>
      </c>
      <c r="AJ188" s="134">
        <f>'[1]CON %'!$H$23</f>
        <v>17970383016</v>
      </c>
      <c r="AK188" s="321">
        <f>+SUM(AJ188)</f>
        <v>17970383016</v>
      </c>
      <c r="AL188" s="131">
        <f t="shared" si="68"/>
        <v>5.460364877840606E-2</v>
      </c>
      <c r="AM188" s="134">
        <f>'[1]CON %'!$K$23+'[1]CON %'!$L$23+'[1]CON %'!$L$25</f>
        <v>171865049370</v>
      </c>
      <c r="AN188" s="321">
        <f>+SUM(AM188)</f>
        <v>171865049370</v>
      </c>
      <c r="AO188" s="131">
        <f t="shared" si="77"/>
        <v>0.52221807318894697</v>
      </c>
      <c r="AP188" s="1002">
        <f t="shared" si="62"/>
        <v>329105900760</v>
      </c>
      <c r="AQ188" s="18" t="str">
        <f t="shared" si="78"/>
        <v>Bien</v>
      </c>
      <c r="AR188" s="1160" t="s">
        <v>1206</v>
      </c>
    </row>
    <row r="189" spans="1:44" ht="76.5" x14ac:dyDescent="0.25">
      <c r="A189" s="2048"/>
      <c r="B189" s="1509"/>
      <c r="C189" s="2215"/>
      <c r="D189" s="2215"/>
      <c r="E189" s="1592" t="s">
        <v>292</v>
      </c>
      <c r="F189" s="1594" t="s">
        <v>293</v>
      </c>
      <c r="G189" s="1597" t="s">
        <v>285</v>
      </c>
      <c r="H189" s="1597">
        <v>17357</v>
      </c>
      <c r="I189" s="1632">
        <v>2500</v>
      </c>
      <c r="J189" s="240" t="s">
        <v>874</v>
      </c>
      <c r="K189" s="236" t="s">
        <v>294</v>
      </c>
      <c r="L189" s="237" t="s">
        <v>623</v>
      </c>
      <c r="M189" s="237">
        <v>0</v>
      </c>
      <c r="N189" s="238">
        <v>2000</v>
      </c>
      <c r="O189" s="234">
        <v>0</v>
      </c>
      <c r="P189" s="127">
        <v>500</v>
      </c>
      <c r="Q189" s="127">
        <v>500</v>
      </c>
      <c r="R189" s="127">
        <v>1000</v>
      </c>
      <c r="S189" s="137">
        <f t="shared" si="74"/>
        <v>2000</v>
      </c>
      <c r="T189" s="133">
        <f t="shared" si="75"/>
        <v>2000</v>
      </c>
      <c r="U189" s="129">
        <f>'[1]CON %'!$I$28</f>
        <v>1500000000</v>
      </c>
      <c r="V189" s="129">
        <f>P189*'[1]CON %'!$N$28-1500000000</f>
        <v>5961325500</v>
      </c>
      <c r="W189" s="129">
        <f>Q189*'[1]CON %'!$N$28</f>
        <v>7461325500</v>
      </c>
      <c r="X189" s="129">
        <f>R189*'[1]CON %'!$N$28</f>
        <v>14922651000</v>
      </c>
      <c r="Y189" s="130">
        <f t="shared" si="79"/>
        <v>29845302000</v>
      </c>
      <c r="Z189" s="1553">
        <f>+SUM(Y189:Y191)</f>
        <v>38342981400</v>
      </c>
      <c r="AA189" s="129">
        <v>0</v>
      </c>
      <c r="AB189" s="1630">
        <f>+SUM(AA189:AA191)</f>
        <v>0</v>
      </c>
      <c r="AC189" s="131">
        <f t="shared" si="50"/>
        <v>0</v>
      </c>
      <c r="AD189" s="129">
        <f>U189</f>
        <v>1500000000</v>
      </c>
      <c r="AE189" s="1630">
        <f>+SUM(AD189:AD191)</f>
        <v>9997679400</v>
      </c>
      <c r="AF189" s="131">
        <f t="shared" si="66"/>
        <v>5.0259166417548733E-2</v>
      </c>
      <c r="AG189" s="129">
        <v>0</v>
      </c>
      <c r="AH189" s="1553">
        <f>+SUM(AG189:AG191)</f>
        <v>0</v>
      </c>
      <c r="AI189" s="131">
        <f t="shared" si="76"/>
        <v>0</v>
      </c>
      <c r="AJ189" s="129">
        <v>0</v>
      </c>
      <c r="AK189" s="1553">
        <f>+SUM(AJ189:AJ191)</f>
        <v>0</v>
      </c>
      <c r="AL189" s="131">
        <f t="shared" si="68"/>
        <v>0</v>
      </c>
      <c r="AM189" s="129">
        <f>'[1]CON %'!$L$28</f>
        <v>28345302000</v>
      </c>
      <c r="AN189" s="1553">
        <f>+SUM(AM189:AM191)</f>
        <v>28345302000</v>
      </c>
      <c r="AO189" s="131">
        <f t="shared" si="77"/>
        <v>0.94974083358245132</v>
      </c>
      <c r="AP189" s="1002">
        <f t="shared" si="62"/>
        <v>29845302000</v>
      </c>
      <c r="AQ189" s="18" t="str">
        <f t="shared" si="78"/>
        <v>Bien</v>
      </c>
      <c r="AR189" s="1152" t="s">
        <v>1254</v>
      </c>
    </row>
    <row r="190" spans="1:44" ht="25.5" customHeight="1" x14ac:dyDescent="0.25">
      <c r="A190" s="2048"/>
      <c r="B190" s="1509"/>
      <c r="C190" s="2215"/>
      <c r="D190" s="2215"/>
      <c r="E190" s="1592"/>
      <c r="F190" s="1595"/>
      <c r="G190" s="1579"/>
      <c r="H190" s="1579"/>
      <c r="I190" s="1626"/>
      <c r="J190" s="240" t="s">
        <v>631</v>
      </c>
      <c r="K190" s="240" t="s">
        <v>294</v>
      </c>
      <c r="L190" s="241" t="s">
        <v>286</v>
      </c>
      <c r="M190" s="242">
        <v>0</v>
      </c>
      <c r="N190" s="243">
        <v>200</v>
      </c>
      <c r="O190" s="234">
        <v>0</v>
      </c>
      <c r="P190" s="127">
        <v>50</v>
      </c>
      <c r="Q190" s="127">
        <v>50</v>
      </c>
      <c r="R190" s="127">
        <v>100</v>
      </c>
      <c r="S190" s="137">
        <f t="shared" si="74"/>
        <v>200</v>
      </c>
      <c r="T190" s="133">
        <f t="shared" si="75"/>
        <v>200</v>
      </c>
      <c r="U190" s="129">
        <v>0</v>
      </c>
      <c r="V190" s="129">
        <f>P190*'[1]CON %'!$N$30</f>
        <v>708139950</v>
      </c>
      <c r="W190" s="129">
        <f>Q190*'[1]CON %'!$N$30</f>
        <v>708139950</v>
      </c>
      <c r="X190" s="129">
        <f>W190*2</f>
        <v>1416279900</v>
      </c>
      <c r="Y190" s="130">
        <f t="shared" si="79"/>
        <v>2832559800</v>
      </c>
      <c r="Z190" s="1554"/>
      <c r="AA190" s="129">
        <v>0</v>
      </c>
      <c r="AB190" s="1631"/>
      <c r="AC190" s="131">
        <f t="shared" si="50"/>
        <v>0</v>
      </c>
      <c r="AD190" s="129">
        <f>'[1]CON %'!$I$30</f>
        <v>2832559800</v>
      </c>
      <c r="AE190" s="1631"/>
      <c r="AF190" s="131">
        <f t="shared" si="66"/>
        <v>1</v>
      </c>
      <c r="AG190" s="129">
        <v>0</v>
      </c>
      <c r="AH190" s="1554"/>
      <c r="AI190" s="131">
        <f t="shared" si="76"/>
        <v>0</v>
      </c>
      <c r="AJ190" s="129">
        <v>0</v>
      </c>
      <c r="AK190" s="1554"/>
      <c r="AL190" s="131">
        <f t="shared" si="68"/>
        <v>0</v>
      </c>
      <c r="AM190" s="129">
        <v>0</v>
      </c>
      <c r="AN190" s="1554"/>
      <c r="AO190" s="131">
        <f t="shared" si="77"/>
        <v>0</v>
      </c>
      <c r="AP190" s="1002">
        <f t="shared" si="62"/>
        <v>2832559800</v>
      </c>
      <c r="AQ190" s="18" t="str">
        <f t="shared" si="78"/>
        <v>Bien</v>
      </c>
      <c r="AR190" s="1152" t="s">
        <v>1254</v>
      </c>
    </row>
    <row r="191" spans="1:44" ht="89.25" x14ac:dyDescent="0.25">
      <c r="A191" s="2048"/>
      <c r="B191" s="1509"/>
      <c r="C191" s="2215"/>
      <c r="D191" s="2215"/>
      <c r="E191" s="1593"/>
      <c r="F191" s="1595"/>
      <c r="G191" s="1579"/>
      <c r="H191" s="1579"/>
      <c r="I191" s="1626"/>
      <c r="J191" s="240" t="s">
        <v>295</v>
      </c>
      <c r="K191" s="240" t="s">
        <v>294</v>
      </c>
      <c r="L191" s="241" t="s">
        <v>286</v>
      </c>
      <c r="M191" s="242">
        <v>0</v>
      </c>
      <c r="N191" s="243">
        <v>400</v>
      </c>
      <c r="O191" s="234">
        <v>0</v>
      </c>
      <c r="P191" s="127">
        <v>20</v>
      </c>
      <c r="Q191" s="127">
        <v>180</v>
      </c>
      <c r="R191" s="127">
        <v>200</v>
      </c>
      <c r="S191" s="137">
        <f t="shared" si="74"/>
        <v>400</v>
      </c>
      <c r="T191" s="133">
        <f t="shared" si="75"/>
        <v>400</v>
      </c>
      <c r="U191" s="129">
        <v>0</v>
      </c>
      <c r="V191" s="129">
        <f>'[1]CON %'!$N$32*P191</f>
        <v>283255980</v>
      </c>
      <c r="W191" s="129">
        <f>'[1]CON %'!$N$32*Q191</f>
        <v>2549303820</v>
      </c>
      <c r="X191" s="129">
        <f>'[1]CON %'!$N$32*R191</f>
        <v>2832559800</v>
      </c>
      <c r="Y191" s="130">
        <f t="shared" si="79"/>
        <v>5665119600</v>
      </c>
      <c r="Z191" s="1616"/>
      <c r="AA191" s="129">
        <v>0</v>
      </c>
      <c r="AB191" s="1634"/>
      <c r="AC191" s="131">
        <f t="shared" si="50"/>
        <v>0</v>
      </c>
      <c r="AD191" s="129">
        <f>'[1]CON %'!$I$32</f>
        <v>5665119600</v>
      </c>
      <c r="AE191" s="1634"/>
      <c r="AF191" s="131">
        <f t="shared" si="66"/>
        <v>1</v>
      </c>
      <c r="AG191" s="129">
        <v>0</v>
      </c>
      <c r="AH191" s="1616"/>
      <c r="AI191" s="131">
        <f t="shared" si="76"/>
        <v>0</v>
      </c>
      <c r="AJ191" s="129">
        <v>0</v>
      </c>
      <c r="AK191" s="1616"/>
      <c r="AL191" s="131">
        <f t="shared" si="68"/>
        <v>0</v>
      </c>
      <c r="AM191" s="129">
        <v>0</v>
      </c>
      <c r="AN191" s="1616"/>
      <c r="AO191" s="131">
        <f t="shared" si="77"/>
        <v>0</v>
      </c>
      <c r="AP191" s="1002">
        <f t="shared" si="62"/>
        <v>5665119600</v>
      </c>
      <c r="AQ191" s="18" t="str">
        <f t="shared" si="78"/>
        <v>Bien</v>
      </c>
      <c r="AR191" s="1161" t="s">
        <v>1203</v>
      </c>
    </row>
    <row r="192" spans="1:44" ht="25.5" customHeight="1" x14ac:dyDescent="0.25">
      <c r="A192" s="2048"/>
      <c r="B192" s="1509"/>
      <c r="C192" s="2215"/>
      <c r="D192" s="2215"/>
      <c r="E192" s="1118" t="s">
        <v>296</v>
      </c>
      <c r="F192" s="1595"/>
      <c r="G192" s="1579"/>
      <c r="H192" s="1579"/>
      <c r="I192" s="1626"/>
      <c r="J192" s="240" t="s">
        <v>1145</v>
      </c>
      <c r="K192" s="240" t="s">
        <v>297</v>
      </c>
      <c r="L192" s="241" t="s">
        <v>286</v>
      </c>
      <c r="M192" s="242">
        <v>38</v>
      </c>
      <c r="N192" s="242">
        <v>175</v>
      </c>
      <c r="O192" s="234">
        <v>5</v>
      </c>
      <c r="P192" s="127">
        <v>38</v>
      </c>
      <c r="Q192" s="127">
        <v>40</v>
      </c>
      <c r="R192" s="127">
        <v>92</v>
      </c>
      <c r="S192" s="137">
        <f t="shared" si="74"/>
        <v>175</v>
      </c>
      <c r="T192" s="137">
        <f t="shared" si="75"/>
        <v>175</v>
      </c>
      <c r="U192" s="129">
        <f>O192*'[1]CON %'!$N$35</f>
        <v>307231050</v>
      </c>
      <c r="V192" s="129">
        <f>P192*'[1]CON %'!$N$35</f>
        <v>2334955980</v>
      </c>
      <c r="W192" s="129">
        <f>Q192*'[1]CON %'!$N$35</f>
        <v>2457848400</v>
      </c>
      <c r="X192" s="129">
        <f>R192*'[1]CON %'!$N$35</f>
        <v>5653051320</v>
      </c>
      <c r="Y192" s="130">
        <f t="shared" si="79"/>
        <v>10753086750</v>
      </c>
      <c r="Z192" s="140">
        <f>+SUM(Y192)</f>
        <v>10753086750</v>
      </c>
      <c r="AA192" s="129">
        <f>'[1]CON %'!$G$35</f>
        <v>2765079450</v>
      </c>
      <c r="AB192" s="1049">
        <f>+SUM(AA192)</f>
        <v>2765079450</v>
      </c>
      <c r="AC192" s="131">
        <f t="shared" si="50"/>
        <v>0.25714285714285712</v>
      </c>
      <c r="AD192" s="129">
        <f>'[1]CON %'!$I$35</f>
        <v>1997001825</v>
      </c>
      <c r="AE192" s="1049">
        <f>+SUM(AD192)</f>
        <v>1997001825</v>
      </c>
      <c r="AF192" s="131">
        <f t="shared" si="66"/>
        <v>0.18571428571428572</v>
      </c>
      <c r="AG192" s="129">
        <f>'[1]CON %'!$J$35</f>
        <v>1997001825</v>
      </c>
      <c r="AH192" s="140">
        <f>+SUM(AG192)</f>
        <v>1997001825</v>
      </c>
      <c r="AI192" s="131">
        <f t="shared" si="76"/>
        <v>0.18571428571428572</v>
      </c>
      <c r="AJ192" s="129">
        <v>0</v>
      </c>
      <c r="AK192" s="140">
        <f>+SUM(AJ192)</f>
        <v>0</v>
      </c>
      <c r="AL192" s="131">
        <f t="shared" si="68"/>
        <v>0</v>
      </c>
      <c r="AM192" s="129">
        <f>'[1]CON %'!$K$35+'[1]CON %'!$L$35</f>
        <v>3994003650</v>
      </c>
      <c r="AN192" s="140">
        <f>+SUM(AM192)</f>
        <v>3994003650</v>
      </c>
      <c r="AO192" s="131">
        <f t="shared" si="77"/>
        <v>0.37142857142857144</v>
      </c>
      <c r="AP192" s="1002">
        <f t="shared" si="62"/>
        <v>10753086750</v>
      </c>
      <c r="AQ192" s="18" t="str">
        <f t="shared" si="78"/>
        <v>Bien</v>
      </c>
      <c r="AR192" s="1152" t="s">
        <v>1203</v>
      </c>
    </row>
    <row r="193" spans="1:44" ht="38.25" x14ac:dyDescent="0.25">
      <c r="A193" s="2048"/>
      <c r="B193" s="1509"/>
      <c r="C193" s="2215"/>
      <c r="D193" s="2215"/>
      <c r="E193" s="1119" t="s">
        <v>298</v>
      </c>
      <c r="F193" s="1596"/>
      <c r="G193" s="1598"/>
      <c r="H193" s="1598"/>
      <c r="I193" s="1633"/>
      <c r="J193" s="240" t="s">
        <v>299</v>
      </c>
      <c r="K193" s="240" t="s">
        <v>1056</v>
      </c>
      <c r="L193" s="241" t="s">
        <v>300</v>
      </c>
      <c r="M193" s="242">
        <v>842</v>
      </c>
      <c r="N193" s="243">
        <f>1155+1644</f>
        <v>2799</v>
      </c>
      <c r="O193" s="234">
        <v>800</v>
      </c>
      <c r="P193" s="127">
        <v>800</v>
      </c>
      <c r="Q193" s="127">
        <v>800</v>
      </c>
      <c r="R193" s="127">
        <v>399</v>
      </c>
      <c r="S193" s="133">
        <f t="shared" si="74"/>
        <v>2799</v>
      </c>
      <c r="T193" s="133">
        <f t="shared" si="75"/>
        <v>2799</v>
      </c>
      <c r="U193" s="129">
        <f>O193*'[1]CON %'!$N$40</f>
        <v>202844937.62057877</v>
      </c>
      <c r="V193" s="129">
        <f>P193*'[1]CON %'!$N$40</f>
        <v>202844937.62057877</v>
      </c>
      <c r="W193" s="129">
        <f>Q193*'[1]CON %'!$N$40</f>
        <v>202844937.62057877</v>
      </c>
      <c r="X193" s="129">
        <f>R193*'[1]CON %'!$N$40</f>
        <v>101168912.63826366</v>
      </c>
      <c r="Y193" s="130">
        <f t="shared" si="79"/>
        <v>709703725.5</v>
      </c>
      <c r="Z193" s="140">
        <f>+SUM(Y193)</f>
        <v>709703725.5</v>
      </c>
      <c r="AA193" s="134">
        <f>'[1]CON %'!$H$38+'[1]CON %'!$H$40</f>
        <v>709703725.5</v>
      </c>
      <c r="AB193" s="1049">
        <f>+SUM(AA193)</f>
        <v>709703725.5</v>
      </c>
      <c r="AC193" s="131">
        <f t="shared" si="50"/>
        <v>1</v>
      </c>
      <c r="AD193" s="129">
        <v>0</v>
      </c>
      <c r="AE193" s="1049">
        <f>+SUM(AD193)</f>
        <v>0</v>
      </c>
      <c r="AF193" s="131">
        <f t="shared" si="66"/>
        <v>0</v>
      </c>
      <c r="AG193" s="129">
        <v>0</v>
      </c>
      <c r="AH193" s="140">
        <f>+SUM(AG193)</f>
        <v>0</v>
      </c>
      <c r="AI193" s="131">
        <f t="shared" si="76"/>
        <v>0</v>
      </c>
      <c r="AJ193" s="129">
        <v>0</v>
      </c>
      <c r="AK193" s="140">
        <f>+SUM(AJ193)</f>
        <v>0</v>
      </c>
      <c r="AL193" s="131">
        <f t="shared" si="68"/>
        <v>0</v>
      </c>
      <c r="AM193" s="129">
        <v>0</v>
      </c>
      <c r="AN193" s="140">
        <f>+SUM(AM193)</f>
        <v>0</v>
      </c>
      <c r="AO193" s="131">
        <f t="shared" si="77"/>
        <v>0</v>
      </c>
      <c r="AP193" s="1002">
        <f t="shared" si="62"/>
        <v>709703725.5</v>
      </c>
      <c r="AQ193" s="18" t="str">
        <f t="shared" si="78"/>
        <v>Bien</v>
      </c>
      <c r="AR193" s="1152" t="s">
        <v>1203</v>
      </c>
    </row>
    <row r="194" spans="1:44" ht="29.25" customHeight="1" x14ac:dyDescent="0.25">
      <c r="A194" s="2048"/>
      <c r="B194" s="1509"/>
      <c r="C194" s="2215"/>
      <c r="D194" s="2215"/>
      <c r="E194" s="1617" t="s">
        <v>301</v>
      </c>
      <c r="F194" s="1621" t="s">
        <v>302</v>
      </c>
      <c r="G194" s="1578" t="s">
        <v>303</v>
      </c>
      <c r="H194" s="1578">
        <v>901</v>
      </c>
      <c r="I194" s="1625">
        <v>1220</v>
      </c>
      <c r="J194" s="1629" t="s">
        <v>304</v>
      </c>
      <c r="K194" s="244" t="s">
        <v>305</v>
      </c>
      <c r="L194" s="245" t="s">
        <v>623</v>
      </c>
      <c r="M194" s="237">
        <v>259</v>
      </c>
      <c r="N194" s="237">
        <v>607</v>
      </c>
      <c r="O194" s="234">
        <v>15</v>
      </c>
      <c r="P194" s="127">
        <v>25</v>
      </c>
      <c r="Q194" s="127">
        <v>267</v>
      </c>
      <c r="R194" s="127">
        <v>300</v>
      </c>
      <c r="S194" s="137">
        <f t="shared" si="74"/>
        <v>607</v>
      </c>
      <c r="T194" s="137">
        <f t="shared" si="75"/>
        <v>607</v>
      </c>
      <c r="U194" s="129">
        <f>O194*'[1]CON %'!$N$43</f>
        <v>39501135</v>
      </c>
      <c r="V194" s="129">
        <f>P194*'[1]CON %'!$N$43</f>
        <v>65835225</v>
      </c>
      <c r="W194" s="129">
        <f>Q194*'[1]CON %'!$N$43</f>
        <v>703120203</v>
      </c>
      <c r="X194" s="129">
        <f>R194*'[1]CON %'!$N$43</f>
        <v>790022700</v>
      </c>
      <c r="Y194" s="130">
        <f t="shared" si="79"/>
        <v>1598479263</v>
      </c>
      <c r="Z194" s="1553">
        <f>+SUM(Y194:Y197)</f>
        <v>18356616336</v>
      </c>
      <c r="AA194" s="129">
        <f>'[1]CON %'!$H$43</f>
        <v>532826421</v>
      </c>
      <c r="AB194" s="1630">
        <f>+SUM(AA194:AA197)</f>
        <v>1227168594</v>
      </c>
      <c r="AC194" s="131">
        <f t="shared" si="50"/>
        <v>0.33333333333333331</v>
      </c>
      <c r="AD194" s="129">
        <v>0</v>
      </c>
      <c r="AE194" s="1630">
        <f>+SUM(AD194:AD197)</f>
        <v>0</v>
      </c>
      <c r="AF194" s="131">
        <f t="shared" si="66"/>
        <v>0</v>
      </c>
      <c r="AG194" s="129">
        <v>0</v>
      </c>
      <c r="AH194" s="1553">
        <f>+SUM(AG194:AG197)</f>
        <v>0</v>
      </c>
      <c r="AI194" s="131">
        <f t="shared" si="76"/>
        <v>0</v>
      </c>
      <c r="AJ194" s="129">
        <v>0</v>
      </c>
      <c r="AK194" s="1553">
        <f>+SUM(AJ194:AJ197)</f>
        <v>263340900</v>
      </c>
      <c r="AL194" s="131">
        <f t="shared" si="68"/>
        <v>0</v>
      </c>
      <c r="AM194" s="129">
        <f>'[1]CON %'!$K$43+'[1]CON %'!$L$43</f>
        <v>1065652842</v>
      </c>
      <c r="AN194" s="1553">
        <f>+SUM(AM194:AM197)</f>
        <v>16866106842</v>
      </c>
      <c r="AO194" s="131">
        <f t="shared" si="77"/>
        <v>0.66666666666666663</v>
      </c>
      <c r="AP194" s="1002">
        <f t="shared" si="62"/>
        <v>1598479263</v>
      </c>
      <c r="AQ194" s="18" t="str">
        <f t="shared" si="78"/>
        <v>Bien</v>
      </c>
      <c r="AR194" s="1152" t="s">
        <v>1203</v>
      </c>
    </row>
    <row r="195" spans="1:44" ht="25.5" x14ac:dyDescent="0.25">
      <c r="A195" s="2048"/>
      <c r="B195" s="1509"/>
      <c r="C195" s="2215"/>
      <c r="D195" s="2215"/>
      <c r="E195" s="1618"/>
      <c r="F195" s="1595"/>
      <c r="G195" s="1579"/>
      <c r="H195" s="1579"/>
      <c r="I195" s="1626"/>
      <c r="J195" s="1629"/>
      <c r="K195" s="244" t="s">
        <v>306</v>
      </c>
      <c r="L195" s="244" t="s">
        <v>1146</v>
      </c>
      <c r="M195" s="239">
        <v>0</v>
      </c>
      <c r="N195" s="239">
        <v>1</v>
      </c>
      <c r="O195" s="234">
        <f>0/366</f>
        <v>0</v>
      </c>
      <c r="P195" s="141">
        <f>66/366</f>
        <v>0.18032786885245902</v>
      </c>
      <c r="Q195" s="141">
        <f>150/366</f>
        <v>0.4098360655737705</v>
      </c>
      <c r="R195" s="141">
        <f>150/366</f>
        <v>0.4098360655737705</v>
      </c>
      <c r="S195" s="137">
        <f t="shared" si="74"/>
        <v>1</v>
      </c>
      <c r="T195" s="137">
        <f t="shared" si="75"/>
        <v>1</v>
      </c>
      <c r="U195" s="129">
        <f>O195*'[1]CON %'!$M$45</f>
        <v>0</v>
      </c>
      <c r="V195" s="129">
        <f>P195*'[1]CON %'!$M$45</f>
        <v>57934998</v>
      </c>
      <c r="W195" s="129">
        <f>Q195*'[1]CON %'!$M$45</f>
        <v>131670450</v>
      </c>
      <c r="X195" s="129">
        <f>R195*'[1]CON %'!$M$45</f>
        <v>131670450</v>
      </c>
      <c r="Y195" s="130">
        <f t="shared" si="79"/>
        <v>321275898</v>
      </c>
      <c r="Z195" s="1554"/>
      <c r="AA195" s="129">
        <f>'[1]CON %'!$H$45</f>
        <v>321275898</v>
      </c>
      <c r="AB195" s="1631"/>
      <c r="AC195" s="131"/>
      <c r="AD195" s="129">
        <f>'[1]CON %'!$I$45</f>
        <v>0</v>
      </c>
      <c r="AE195" s="1631"/>
      <c r="AF195" s="131"/>
      <c r="AG195" s="129">
        <f>'[1]CON %'!$J$45</f>
        <v>0</v>
      </c>
      <c r="AH195" s="1554"/>
      <c r="AI195" s="131"/>
      <c r="AJ195" s="129">
        <f>0</f>
        <v>0</v>
      </c>
      <c r="AK195" s="1554"/>
      <c r="AL195" s="131">
        <f t="shared" si="68"/>
        <v>0</v>
      </c>
      <c r="AM195" s="129">
        <f>'[1]CON %'!$L$45</f>
        <v>0</v>
      </c>
      <c r="AN195" s="1554"/>
      <c r="AO195" s="131">
        <f t="shared" si="77"/>
        <v>0</v>
      </c>
      <c r="AP195" s="1002">
        <f t="shared" si="62"/>
        <v>321275898</v>
      </c>
      <c r="AQ195" s="18" t="str">
        <f t="shared" si="78"/>
        <v>Bien</v>
      </c>
      <c r="AR195" s="1152" t="s">
        <v>1203</v>
      </c>
    </row>
    <row r="196" spans="1:44" ht="38.25" x14ac:dyDescent="0.25">
      <c r="A196" s="2048"/>
      <c r="B196" s="1509"/>
      <c r="C196" s="2215"/>
      <c r="D196" s="2215"/>
      <c r="E196" s="1619"/>
      <c r="F196" s="1577"/>
      <c r="G196" s="1623"/>
      <c r="H196" s="1623"/>
      <c r="I196" s="1627"/>
      <c r="J196" s="240" t="s">
        <v>307</v>
      </c>
      <c r="K196" s="244" t="s">
        <v>632</v>
      </c>
      <c r="L196" s="237" t="s">
        <v>623</v>
      </c>
      <c r="M196" s="237">
        <v>0</v>
      </c>
      <c r="N196" s="237">
        <v>20</v>
      </c>
      <c r="O196" s="234"/>
      <c r="P196" s="127">
        <v>5</v>
      </c>
      <c r="Q196" s="127">
        <v>10</v>
      </c>
      <c r="R196" s="127">
        <v>5</v>
      </c>
      <c r="S196" s="137">
        <f t="shared" si="74"/>
        <v>20</v>
      </c>
      <c r="T196" s="137">
        <f t="shared" si="75"/>
        <v>20</v>
      </c>
      <c r="U196" s="129"/>
      <c r="V196" s="129">
        <v>27431343.75</v>
      </c>
      <c r="W196" s="129">
        <v>54862687.5</v>
      </c>
      <c r="X196" s="129">
        <v>27431343.75</v>
      </c>
      <c r="Y196" s="142">
        <f t="shared" si="79"/>
        <v>109725375</v>
      </c>
      <c r="Z196" s="1555"/>
      <c r="AA196" s="143">
        <v>109725375</v>
      </c>
      <c r="AB196" s="1481"/>
      <c r="AC196" s="131">
        <f t="shared" si="50"/>
        <v>1</v>
      </c>
      <c r="AD196" s="138"/>
      <c r="AE196" s="1481"/>
      <c r="AF196" s="131">
        <f>+AD196/Y196</f>
        <v>0</v>
      </c>
      <c r="AG196" s="138"/>
      <c r="AH196" s="1555"/>
      <c r="AI196" s="131">
        <f>+AG196/Y196</f>
        <v>0</v>
      </c>
      <c r="AJ196" s="138"/>
      <c r="AK196" s="1555"/>
      <c r="AL196" s="131">
        <f t="shared" si="68"/>
        <v>0</v>
      </c>
      <c r="AM196" s="138"/>
      <c r="AN196" s="1555"/>
      <c r="AO196" s="131">
        <f t="shared" si="77"/>
        <v>0</v>
      </c>
      <c r="AP196" s="1003">
        <f t="shared" si="62"/>
        <v>109725375</v>
      </c>
      <c r="AQ196" s="18" t="str">
        <f t="shared" si="78"/>
        <v>Bien</v>
      </c>
      <c r="AR196" s="1152" t="s">
        <v>1203</v>
      </c>
    </row>
    <row r="197" spans="1:44" ht="38.25" x14ac:dyDescent="0.25">
      <c r="A197" s="2048"/>
      <c r="B197" s="1509"/>
      <c r="C197" s="2215"/>
      <c r="D197" s="2215"/>
      <c r="E197" s="1620"/>
      <c r="F197" s="1622"/>
      <c r="G197" s="1624"/>
      <c r="H197" s="1624"/>
      <c r="I197" s="1628"/>
      <c r="J197" s="320" t="s">
        <v>1265</v>
      </c>
      <c r="K197" s="240" t="s">
        <v>308</v>
      </c>
      <c r="L197" s="241" t="s">
        <v>309</v>
      </c>
      <c r="M197" s="242">
        <v>108</v>
      </c>
      <c r="N197" s="243">
        <v>300</v>
      </c>
      <c r="O197" s="234">
        <v>0</v>
      </c>
      <c r="P197" s="127">
        <v>100</v>
      </c>
      <c r="Q197" s="127">
        <v>100</v>
      </c>
      <c r="R197" s="127">
        <v>100</v>
      </c>
      <c r="S197" s="137">
        <f t="shared" si="74"/>
        <v>300</v>
      </c>
      <c r="T197" s="144">
        <f t="shared" si="75"/>
        <v>300</v>
      </c>
      <c r="U197" s="129">
        <f>P197*'[1]CON %'!$N$49</f>
        <v>5442378600</v>
      </c>
      <c r="V197" s="129">
        <f>Q197*'[1]CON %'!$N$49</f>
        <v>5442378600</v>
      </c>
      <c r="W197" s="129">
        <f>R197*'[1]CON %'!$N$49</f>
        <v>5442378600</v>
      </c>
      <c r="X197" s="129"/>
      <c r="Y197" s="130">
        <f t="shared" si="79"/>
        <v>16327135800</v>
      </c>
      <c r="Z197" s="1556"/>
      <c r="AA197" s="134">
        <f>'[1]CON %'!$G$49</f>
        <v>263340900</v>
      </c>
      <c r="AB197" s="1477"/>
      <c r="AC197" s="131">
        <f t="shared" si="50"/>
        <v>1.6129032258064516E-2</v>
      </c>
      <c r="AD197" s="134">
        <v>0</v>
      </c>
      <c r="AE197" s="1477"/>
      <c r="AF197" s="131">
        <f>+AD197/Y197</f>
        <v>0</v>
      </c>
      <c r="AG197" s="129">
        <f>'[1]CON %'!$J$49</f>
        <v>0</v>
      </c>
      <c r="AH197" s="1556"/>
      <c r="AI197" s="131">
        <f>+AG197/Y197</f>
        <v>0</v>
      </c>
      <c r="AJ197" s="134">
        <f>'[1]CON %'!$H$49</f>
        <v>263340900</v>
      </c>
      <c r="AK197" s="1556"/>
      <c r="AL197" s="131">
        <f t="shared" si="68"/>
        <v>1.6129032258064516E-2</v>
      </c>
      <c r="AM197" s="134">
        <v>15800454000</v>
      </c>
      <c r="AN197" s="1556"/>
      <c r="AO197" s="131">
        <f t="shared" si="77"/>
        <v>0.967741935483871</v>
      </c>
      <c r="AP197" s="1002">
        <f t="shared" si="62"/>
        <v>16327135800</v>
      </c>
      <c r="AQ197" s="18" t="str">
        <f t="shared" si="78"/>
        <v>Bien</v>
      </c>
      <c r="AR197" s="1152" t="s">
        <v>1203</v>
      </c>
    </row>
    <row r="198" spans="1:44" ht="89.25" x14ac:dyDescent="0.25">
      <c r="A198" s="2048"/>
      <c r="B198" s="1509"/>
      <c r="C198" s="2215"/>
      <c r="D198" s="2215"/>
      <c r="E198" s="1557" t="s">
        <v>310</v>
      </c>
      <c r="F198" s="1576" t="s">
        <v>311</v>
      </c>
      <c r="G198" s="1578" t="s">
        <v>203</v>
      </c>
      <c r="H198" s="1580">
        <v>0</v>
      </c>
      <c r="I198" s="1582">
        <v>0.4</v>
      </c>
      <c r="J198" s="1614" t="s">
        <v>312</v>
      </c>
      <c r="K198" s="236" t="s">
        <v>633</v>
      </c>
      <c r="L198" s="237" t="s">
        <v>313</v>
      </c>
      <c r="M198" s="238">
        <v>6000</v>
      </c>
      <c r="N198" s="238">
        <v>15000</v>
      </c>
      <c r="O198" s="235">
        <v>1000</v>
      </c>
      <c r="P198" s="145">
        <v>2000</v>
      </c>
      <c r="Q198" s="145">
        <v>2000</v>
      </c>
      <c r="R198" s="145">
        <v>10000</v>
      </c>
      <c r="S198" s="144">
        <f t="shared" si="74"/>
        <v>15000</v>
      </c>
      <c r="T198" s="144">
        <f t="shared" si="75"/>
        <v>15000</v>
      </c>
      <c r="U198" s="129">
        <v>146300500</v>
      </c>
      <c r="V198" s="129">
        <v>292601000</v>
      </c>
      <c r="W198" s="129">
        <v>292601000</v>
      </c>
      <c r="X198" s="129">
        <v>1463005000</v>
      </c>
      <c r="Y198" s="130">
        <f t="shared" si="79"/>
        <v>2194507500</v>
      </c>
      <c r="Z198" s="1575">
        <f>+SUM(Y198:Y199)</f>
        <v>2896749900</v>
      </c>
      <c r="AA198" s="129">
        <f>+Y198*0.3</f>
        <v>658352250</v>
      </c>
      <c r="AB198" s="1635">
        <f>+SUM(AA198:AA199)</f>
        <v>869024970</v>
      </c>
      <c r="AC198" s="131">
        <f t="shared" si="50"/>
        <v>0.3</v>
      </c>
      <c r="AD198" s="138"/>
      <c r="AE198" s="1635">
        <f>+SUM(AD198:AD199)</f>
        <v>0</v>
      </c>
      <c r="AF198" s="131">
        <f>+AD198/Y198</f>
        <v>0</v>
      </c>
      <c r="AG198" s="138"/>
      <c r="AH198" s="1575">
        <f>+SUM(AG198:AG199)</f>
        <v>0</v>
      </c>
      <c r="AI198" s="131">
        <f>+AG198/Y198</f>
        <v>0</v>
      </c>
      <c r="AJ198" s="138"/>
      <c r="AK198" s="1575">
        <f>+SUM(AJ198:AJ199)</f>
        <v>0</v>
      </c>
      <c r="AL198" s="131">
        <f t="shared" si="68"/>
        <v>0</v>
      </c>
      <c r="AM198" s="138">
        <v>1536155250</v>
      </c>
      <c r="AN198" s="1575">
        <f>+SUM(AM198:AM199)</f>
        <v>2027724930</v>
      </c>
      <c r="AO198" s="131">
        <f t="shared" si="77"/>
        <v>0.7</v>
      </c>
      <c r="AP198" s="1004">
        <f t="shared" si="62"/>
        <v>2194507500</v>
      </c>
      <c r="AQ198" s="18" t="str">
        <f t="shared" si="78"/>
        <v>Bien</v>
      </c>
      <c r="AR198" s="1152" t="s">
        <v>1207</v>
      </c>
    </row>
    <row r="199" spans="1:44" ht="72.75" customHeight="1" thickBot="1" x14ac:dyDescent="0.3">
      <c r="A199" s="2048"/>
      <c r="B199" s="1509"/>
      <c r="C199" s="2215"/>
      <c r="D199" s="2215"/>
      <c r="E199" s="1558"/>
      <c r="F199" s="1577"/>
      <c r="G199" s="1579"/>
      <c r="H199" s="1581"/>
      <c r="I199" s="1583"/>
      <c r="J199" s="1615"/>
      <c r="K199" s="249" t="s">
        <v>634</v>
      </c>
      <c r="L199" s="250" t="s">
        <v>635</v>
      </c>
      <c r="M199" s="250">
        <v>0</v>
      </c>
      <c r="N199" s="250">
        <v>80</v>
      </c>
      <c r="O199" s="251">
        <v>5</v>
      </c>
      <c r="P199" s="146">
        <v>30</v>
      </c>
      <c r="Q199" s="146">
        <v>30</v>
      </c>
      <c r="R199" s="146">
        <v>15</v>
      </c>
      <c r="S199" s="147">
        <f t="shared" si="74"/>
        <v>80</v>
      </c>
      <c r="T199" s="147">
        <f t="shared" si="75"/>
        <v>80</v>
      </c>
      <c r="U199" s="129">
        <f>'[1]CON %'!$N$54*O199</f>
        <v>43890150</v>
      </c>
      <c r="V199" s="129">
        <f>'[1]CON %'!$N$54*P199</f>
        <v>263340900</v>
      </c>
      <c r="W199" s="129">
        <f>'[1]CON %'!$N$54*Q199</f>
        <v>263340900</v>
      </c>
      <c r="X199" s="129">
        <f>'[1]CON %'!$N$54*R199</f>
        <v>131670450</v>
      </c>
      <c r="Y199" s="130">
        <f t="shared" si="79"/>
        <v>702242400</v>
      </c>
      <c r="Z199" s="1555"/>
      <c r="AA199" s="129">
        <f>'[1]CON %'!$G$54</f>
        <v>210672720</v>
      </c>
      <c r="AB199" s="1481"/>
      <c r="AC199" s="131">
        <f t="shared" si="50"/>
        <v>0.3</v>
      </c>
      <c r="AD199" s="129">
        <f>'[1]CON %'!$I$54</f>
        <v>0</v>
      </c>
      <c r="AE199" s="1481"/>
      <c r="AF199" s="131">
        <f>+AD199/Y199</f>
        <v>0</v>
      </c>
      <c r="AG199" s="129">
        <f>'[1]CON %'!$J$54</f>
        <v>0</v>
      </c>
      <c r="AH199" s="1555"/>
      <c r="AI199" s="131">
        <f>+AG199/Y199</f>
        <v>0</v>
      </c>
      <c r="AJ199" s="129">
        <v>0</v>
      </c>
      <c r="AK199" s="1555"/>
      <c r="AL199" s="131">
        <f t="shared" si="68"/>
        <v>0</v>
      </c>
      <c r="AM199" s="129">
        <f>'[1]CON %'!$L$54</f>
        <v>491569680</v>
      </c>
      <c r="AN199" s="1555"/>
      <c r="AO199" s="131">
        <f t="shared" si="77"/>
        <v>0.7</v>
      </c>
      <c r="AP199" s="1002">
        <f t="shared" si="62"/>
        <v>702242400</v>
      </c>
      <c r="AQ199" s="18" t="str">
        <f t="shared" si="78"/>
        <v>Bien</v>
      </c>
      <c r="AR199" s="1152" t="s">
        <v>1207</v>
      </c>
    </row>
    <row r="200" spans="1:44" ht="63.75" customHeight="1" x14ac:dyDescent="0.25">
      <c r="A200" s="2048"/>
      <c r="B200" s="1907" t="s">
        <v>314</v>
      </c>
      <c r="C200" s="2215">
        <v>4104</v>
      </c>
      <c r="D200" s="2215" t="s">
        <v>1089</v>
      </c>
      <c r="E200" s="1908" t="s">
        <v>1147</v>
      </c>
      <c r="F200" s="613" t="s">
        <v>1043</v>
      </c>
      <c r="G200" s="613" t="s">
        <v>964</v>
      </c>
      <c r="H200" s="614" t="s">
        <v>965</v>
      </c>
      <c r="I200" s="615">
        <v>0.1</v>
      </c>
      <c r="J200" s="1911" t="s">
        <v>636</v>
      </c>
      <c r="K200" s="616" t="s">
        <v>796</v>
      </c>
      <c r="L200" s="617" t="s">
        <v>637</v>
      </c>
      <c r="M200" s="617" t="s">
        <v>107</v>
      </c>
      <c r="N200" s="617">
        <v>9</v>
      </c>
      <c r="O200" s="618">
        <v>1</v>
      </c>
      <c r="P200" s="619">
        <v>3</v>
      </c>
      <c r="Q200" s="620">
        <v>3</v>
      </c>
      <c r="R200" s="620">
        <v>2</v>
      </c>
      <c r="S200" s="621" t="s">
        <v>316</v>
      </c>
      <c r="T200" s="622">
        <f t="shared" ref="T200:T210" si="80">+SUM(O200:R200)</f>
        <v>9</v>
      </c>
      <c r="U200" s="623"/>
      <c r="V200" s="623">
        <v>56250000</v>
      </c>
      <c r="W200" s="623">
        <v>56250000</v>
      </c>
      <c r="X200" s="623">
        <v>37500000</v>
      </c>
      <c r="Y200" s="624">
        <f t="shared" si="79"/>
        <v>150000000</v>
      </c>
      <c r="Z200" s="1605">
        <f>+SUM(Y200:Y202)</f>
        <v>495603004</v>
      </c>
      <c r="AA200" s="625">
        <v>150000000</v>
      </c>
      <c r="AB200" s="1602">
        <f>+SUM(AA200:AA202)</f>
        <v>300000000</v>
      </c>
      <c r="AC200" s="626">
        <v>1</v>
      </c>
      <c r="AD200" s="627">
        <v>0</v>
      </c>
      <c r="AE200" s="1602">
        <f>+SUM(AD200:AD202)</f>
        <v>195603004</v>
      </c>
      <c r="AF200" s="626">
        <v>0</v>
      </c>
      <c r="AG200" s="627">
        <v>0</v>
      </c>
      <c r="AH200" s="1605">
        <f>+SUM(AG200:AG202)</f>
        <v>0</v>
      </c>
      <c r="AI200" s="626">
        <v>0</v>
      </c>
      <c r="AJ200" s="627">
        <v>0</v>
      </c>
      <c r="AK200" s="1605">
        <f>+SUM(AJ200:AJ202)</f>
        <v>0</v>
      </c>
      <c r="AL200" s="626">
        <v>0</v>
      </c>
      <c r="AM200" s="627">
        <v>0</v>
      </c>
      <c r="AN200" s="1605">
        <f>+SUM(AM200:AM202)</f>
        <v>0</v>
      </c>
      <c r="AO200" s="104">
        <v>0</v>
      </c>
      <c r="AP200" s="1002">
        <f t="shared" si="62"/>
        <v>150000000</v>
      </c>
      <c r="AQ200" s="18" t="str">
        <f t="shared" si="78"/>
        <v>Bien</v>
      </c>
      <c r="AR200" s="1150" t="s">
        <v>1208</v>
      </c>
    </row>
    <row r="201" spans="1:44" ht="153" x14ac:dyDescent="0.25">
      <c r="A201" s="2048"/>
      <c r="B201" s="1509"/>
      <c r="C201" s="2215"/>
      <c r="D201" s="2215"/>
      <c r="E201" s="1909"/>
      <c r="F201" s="1608" t="s">
        <v>317</v>
      </c>
      <c r="G201" s="1608" t="s">
        <v>318</v>
      </c>
      <c r="H201" s="1610" t="s">
        <v>319</v>
      </c>
      <c r="I201" s="1612">
        <v>0.05</v>
      </c>
      <c r="J201" s="1911"/>
      <c r="K201" s="616" t="s">
        <v>1062</v>
      </c>
      <c r="L201" s="628" t="s">
        <v>39</v>
      </c>
      <c r="M201" s="628" t="s">
        <v>107</v>
      </c>
      <c r="N201" s="629">
        <v>1</v>
      </c>
      <c r="O201" s="630">
        <v>0.1</v>
      </c>
      <c r="P201" s="631">
        <v>0.3</v>
      </c>
      <c r="Q201" s="632">
        <v>0.3</v>
      </c>
      <c r="R201" s="632">
        <v>0.3</v>
      </c>
      <c r="S201" s="621" t="s">
        <v>316</v>
      </c>
      <c r="T201" s="633">
        <f t="shared" si="80"/>
        <v>1</v>
      </c>
      <c r="U201" s="623"/>
      <c r="V201" s="623">
        <v>50000000</v>
      </c>
      <c r="W201" s="623">
        <v>50000000</v>
      </c>
      <c r="X201" s="623">
        <v>50000000</v>
      </c>
      <c r="Y201" s="624">
        <f t="shared" si="79"/>
        <v>150000000</v>
      </c>
      <c r="Z201" s="1606"/>
      <c r="AA201" s="625">
        <v>150000000</v>
      </c>
      <c r="AB201" s="1603"/>
      <c r="AC201" s="626">
        <v>1</v>
      </c>
      <c r="AD201" s="627"/>
      <c r="AE201" s="1603"/>
      <c r="AF201" s="626">
        <f t="shared" ref="AF201:AF212" si="81">+AD201/Y201</f>
        <v>0</v>
      </c>
      <c r="AG201" s="627"/>
      <c r="AH201" s="1606"/>
      <c r="AI201" s="626">
        <f t="shared" ref="AI201:AI212" si="82">+AG201/Y201</f>
        <v>0</v>
      </c>
      <c r="AJ201" s="627"/>
      <c r="AK201" s="1606"/>
      <c r="AL201" s="626">
        <f t="shared" ref="AL201:AL212" si="83">+AJ201/Y201</f>
        <v>0</v>
      </c>
      <c r="AM201" s="627"/>
      <c r="AN201" s="1606"/>
      <c r="AO201" s="104">
        <f t="shared" ref="AO201:AO212" si="84">+AM201/Y201</f>
        <v>0</v>
      </c>
      <c r="AP201" s="1002">
        <f t="shared" si="62"/>
        <v>150000000</v>
      </c>
      <c r="AQ201" s="18" t="str">
        <f t="shared" si="78"/>
        <v>Bien</v>
      </c>
      <c r="AR201" s="1150" t="s">
        <v>1209</v>
      </c>
    </row>
    <row r="202" spans="1:44" ht="153" x14ac:dyDescent="0.25">
      <c r="A202" s="2048"/>
      <c r="B202" s="1509"/>
      <c r="C202" s="2215"/>
      <c r="D202" s="2215"/>
      <c r="E202" s="1910"/>
      <c r="F202" s="1609"/>
      <c r="G202" s="1609"/>
      <c r="H202" s="1611"/>
      <c r="I202" s="1613"/>
      <c r="J202" s="1911"/>
      <c r="K202" s="616" t="s">
        <v>1063</v>
      </c>
      <c r="L202" s="628" t="s">
        <v>638</v>
      </c>
      <c r="M202" s="628" t="s">
        <v>107</v>
      </c>
      <c r="N202" s="628">
        <v>4000</v>
      </c>
      <c r="O202" s="618">
        <v>500</v>
      </c>
      <c r="P202" s="619">
        <v>1000</v>
      </c>
      <c r="Q202" s="620">
        <v>1250</v>
      </c>
      <c r="R202" s="620">
        <v>1250</v>
      </c>
      <c r="S202" s="621" t="s">
        <v>316</v>
      </c>
      <c r="T202" s="634">
        <f t="shared" si="80"/>
        <v>4000</v>
      </c>
      <c r="U202" s="623">
        <v>75603004</v>
      </c>
      <c r="V202" s="623">
        <v>40000000</v>
      </c>
      <c r="W202" s="623">
        <v>40000000</v>
      </c>
      <c r="X202" s="623">
        <v>40000000</v>
      </c>
      <c r="Y202" s="624">
        <f t="shared" si="79"/>
        <v>195603004</v>
      </c>
      <c r="Z202" s="1607"/>
      <c r="AA202" s="623"/>
      <c r="AB202" s="1604"/>
      <c r="AC202" s="626">
        <f t="shared" ref="AC202" si="85">+AA202/Y202</f>
        <v>0</v>
      </c>
      <c r="AD202" s="627">
        <v>195603004</v>
      </c>
      <c r="AE202" s="1604"/>
      <c r="AF202" s="626">
        <v>1</v>
      </c>
      <c r="AG202" s="627"/>
      <c r="AH202" s="1607"/>
      <c r="AI202" s="626">
        <f t="shared" si="82"/>
        <v>0</v>
      </c>
      <c r="AJ202" s="627"/>
      <c r="AK202" s="1607"/>
      <c r="AL202" s="626">
        <f t="shared" si="83"/>
        <v>0</v>
      </c>
      <c r="AM202" s="627"/>
      <c r="AN202" s="1607"/>
      <c r="AO202" s="104">
        <f t="shared" si="84"/>
        <v>0</v>
      </c>
      <c r="AP202" s="1002">
        <f t="shared" si="62"/>
        <v>195603004</v>
      </c>
      <c r="AQ202" s="18" t="str">
        <f t="shared" si="78"/>
        <v>Bien</v>
      </c>
      <c r="AR202" s="1150" t="s">
        <v>1209</v>
      </c>
    </row>
    <row r="203" spans="1:44" ht="77.25" customHeight="1" x14ac:dyDescent="0.25">
      <c r="A203" s="2048"/>
      <c r="B203" s="1509"/>
      <c r="C203" s="2215"/>
      <c r="D203" s="2215"/>
      <c r="E203" s="1995" t="s">
        <v>320</v>
      </c>
      <c r="F203" s="635" t="s">
        <v>797</v>
      </c>
      <c r="G203" s="635" t="s">
        <v>1148</v>
      </c>
      <c r="H203" s="636" t="s">
        <v>321</v>
      </c>
      <c r="I203" s="637">
        <v>0.39</v>
      </c>
      <c r="J203" s="645" t="s">
        <v>322</v>
      </c>
      <c r="K203" s="616" t="s">
        <v>799</v>
      </c>
      <c r="L203" s="617" t="s">
        <v>639</v>
      </c>
      <c r="M203" s="617" t="s">
        <v>107</v>
      </c>
      <c r="N203" s="617">
        <v>1000</v>
      </c>
      <c r="O203" s="618"/>
      <c r="P203" s="619">
        <v>300</v>
      </c>
      <c r="Q203" s="620">
        <v>350</v>
      </c>
      <c r="R203" s="620">
        <v>350</v>
      </c>
      <c r="S203" s="621" t="s">
        <v>316</v>
      </c>
      <c r="T203" s="634">
        <f t="shared" si="80"/>
        <v>1000</v>
      </c>
      <c r="U203" s="623"/>
      <c r="V203" s="639">
        <v>45000000</v>
      </c>
      <c r="W203" s="639">
        <v>52500000</v>
      </c>
      <c r="X203" s="639">
        <v>52500000</v>
      </c>
      <c r="Y203" s="624">
        <f t="shared" si="79"/>
        <v>150000000</v>
      </c>
      <c r="Z203" s="1599">
        <f>+SUM(Y203:Y210)</f>
        <v>2367656892</v>
      </c>
      <c r="AA203" s="639">
        <v>150000000</v>
      </c>
      <c r="AB203" s="2224">
        <f>+SUM(AA203:AA210)</f>
        <v>2367656892</v>
      </c>
      <c r="AC203" s="626">
        <v>1</v>
      </c>
      <c r="AD203" s="627"/>
      <c r="AE203" s="2224">
        <f>+SUM(AD203:AD210)</f>
        <v>0</v>
      </c>
      <c r="AF203" s="626">
        <f t="shared" si="81"/>
        <v>0</v>
      </c>
      <c r="AG203" s="627"/>
      <c r="AH203" s="1599">
        <f>+SUM(AG203:AG210)</f>
        <v>0</v>
      </c>
      <c r="AI203" s="626">
        <f t="shared" si="82"/>
        <v>0</v>
      </c>
      <c r="AJ203" s="627"/>
      <c r="AK203" s="1599">
        <f>+SUM(AJ203:AJ210)</f>
        <v>0</v>
      </c>
      <c r="AL203" s="626">
        <f t="shared" si="83"/>
        <v>0</v>
      </c>
      <c r="AM203" s="627"/>
      <c r="AN203" s="1599">
        <f>+SUM(AM203:AM210)</f>
        <v>0</v>
      </c>
      <c r="AO203" s="104">
        <f t="shared" si="84"/>
        <v>0</v>
      </c>
      <c r="AP203" s="1002">
        <f t="shared" si="62"/>
        <v>150000000</v>
      </c>
      <c r="AQ203" s="18" t="str">
        <f t="shared" si="78"/>
        <v>Bien</v>
      </c>
      <c r="AR203" s="1150" t="s">
        <v>1210</v>
      </c>
    </row>
    <row r="204" spans="1:44" ht="53.25" customHeight="1" x14ac:dyDescent="0.25">
      <c r="A204" s="2048"/>
      <c r="B204" s="1509"/>
      <c r="C204" s="2215"/>
      <c r="D204" s="2215"/>
      <c r="E204" s="1996"/>
      <c r="F204" s="1982" t="s">
        <v>1149</v>
      </c>
      <c r="G204" s="1982" t="s">
        <v>324</v>
      </c>
      <c r="H204" s="1987" t="s">
        <v>325</v>
      </c>
      <c r="I204" s="1990">
        <v>4</v>
      </c>
      <c r="J204" s="638" t="s">
        <v>326</v>
      </c>
      <c r="K204" s="616" t="s">
        <v>800</v>
      </c>
      <c r="L204" s="617" t="s">
        <v>323</v>
      </c>
      <c r="M204" s="617" t="s">
        <v>107</v>
      </c>
      <c r="N204" s="617">
        <v>500</v>
      </c>
      <c r="O204" s="618">
        <v>125</v>
      </c>
      <c r="P204" s="619">
        <v>125</v>
      </c>
      <c r="Q204" s="620">
        <v>125</v>
      </c>
      <c r="R204" s="620">
        <v>125</v>
      </c>
      <c r="S204" s="621" t="s">
        <v>316</v>
      </c>
      <c r="T204" s="634">
        <f t="shared" si="80"/>
        <v>500</v>
      </c>
      <c r="U204" s="623"/>
      <c r="V204" s="623">
        <v>10000000</v>
      </c>
      <c r="W204" s="623">
        <v>10000000</v>
      </c>
      <c r="X204" s="623">
        <v>10000000</v>
      </c>
      <c r="Y204" s="624">
        <f t="shared" si="79"/>
        <v>30000000</v>
      </c>
      <c r="Z204" s="1600"/>
      <c r="AA204" s="623">
        <v>30000000</v>
      </c>
      <c r="AB204" s="1481"/>
      <c r="AC204" s="626">
        <v>1</v>
      </c>
      <c r="AD204" s="627"/>
      <c r="AE204" s="1481"/>
      <c r="AF204" s="626">
        <f t="shared" si="81"/>
        <v>0</v>
      </c>
      <c r="AG204" s="627"/>
      <c r="AH204" s="1600"/>
      <c r="AI204" s="626">
        <f t="shared" si="82"/>
        <v>0</v>
      </c>
      <c r="AJ204" s="627"/>
      <c r="AK204" s="1600"/>
      <c r="AL204" s="626">
        <f t="shared" si="83"/>
        <v>0</v>
      </c>
      <c r="AM204" s="627"/>
      <c r="AN204" s="1600"/>
      <c r="AO204" s="104">
        <f t="shared" si="84"/>
        <v>0</v>
      </c>
      <c r="AP204" s="1002">
        <f t="shared" si="62"/>
        <v>30000000</v>
      </c>
      <c r="AQ204" s="18" t="str">
        <f t="shared" si="78"/>
        <v>Bien</v>
      </c>
      <c r="AR204" s="1150" t="s">
        <v>1211</v>
      </c>
    </row>
    <row r="205" spans="1:44" ht="40.5" customHeight="1" x14ac:dyDescent="0.25">
      <c r="A205" s="2048"/>
      <c r="B205" s="1509"/>
      <c r="C205" s="2215"/>
      <c r="D205" s="2215"/>
      <c r="E205" s="1996"/>
      <c r="F205" s="1983"/>
      <c r="G205" s="1985"/>
      <c r="H205" s="1988"/>
      <c r="I205" s="1991"/>
      <c r="J205" s="1993" t="s">
        <v>327</v>
      </c>
      <c r="K205" s="616" t="s">
        <v>803</v>
      </c>
      <c r="L205" s="617" t="s">
        <v>802</v>
      </c>
      <c r="M205" s="617">
        <v>0</v>
      </c>
      <c r="N205" s="617">
        <v>1</v>
      </c>
      <c r="O205" s="617">
        <v>1</v>
      </c>
      <c r="P205" s="631"/>
      <c r="Q205" s="632"/>
      <c r="R205" s="632"/>
      <c r="S205" s="621" t="s">
        <v>316</v>
      </c>
      <c r="T205" s="633">
        <f t="shared" si="80"/>
        <v>1</v>
      </c>
      <c r="U205" s="639">
        <v>10000000</v>
      </c>
      <c r="V205" s="623"/>
      <c r="W205" s="623"/>
      <c r="X205" s="623"/>
      <c r="Y205" s="624">
        <f t="shared" si="79"/>
        <v>10000000</v>
      </c>
      <c r="Z205" s="1600"/>
      <c r="AA205" s="623">
        <f>+Y205</f>
        <v>10000000</v>
      </c>
      <c r="AB205" s="1481"/>
      <c r="AC205" s="626">
        <v>1</v>
      </c>
      <c r="AD205" s="627"/>
      <c r="AE205" s="1481"/>
      <c r="AF205" s="626">
        <f t="shared" si="81"/>
        <v>0</v>
      </c>
      <c r="AG205" s="627"/>
      <c r="AH205" s="1600"/>
      <c r="AI205" s="626">
        <f t="shared" si="82"/>
        <v>0</v>
      </c>
      <c r="AJ205" s="627"/>
      <c r="AK205" s="1600"/>
      <c r="AL205" s="626">
        <f t="shared" si="83"/>
        <v>0</v>
      </c>
      <c r="AM205" s="627"/>
      <c r="AN205" s="1600"/>
      <c r="AO205" s="104">
        <f t="shared" si="84"/>
        <v>0</v>
      </c>
      <c r="AP205" s="1002">
        <f t="shared" si="62"/>
        <v>10000000</v>
      </c>
      <c r="AQ205" s="18" t="str">
        <f t="shared" si="78"/>
        <v>Bien</v>
      </c>
      <c r="AR205" s="1150" t="s">
        <v>1212</v>
      </c>
    </row>
    <row r="206" spans="1:44" ht="40.5" customHeight="1" x14ac:dyDescent="0.25">
      <c r="A206" s="2048"/>
      <c r="B206" s="1509"/>
      <c r="C206" s="2215"/>
      <c r="D206" s="2215"/>
      <c r="E206" s="1996"/>
      <c r="F206" s="1983"/>
      <c r="G206" s="1985"/>
      <c r="H206" s="1988"/>
      <c r="I206" s="1991"/>
      <c r="J206" s="1993"/>
      <c r="K206" s="616" t="s">
        <v>801</v>
      </c>
      <c r="L206" s="617" t="s">
        <v>39</v>
      </c>
      <c r="M206" s="640">
        <v>0.2</v>
      </c>
      <c r="N206" s="641">
        <v>0.75</v>
      </c>
      <c r="O206" s="630">
        <v>0.05</v>
      </c>
      <c r="P206" s="631">
        <v>0.1</v>
      </c>
      <c r="Q206" s="632">
        <v>0.2</v>
      </c>
      <c r="R206" s="632">
        <v>0.2</v>
      </c>
      <c r="S206" s="621"/>
      <c r="T206" s="633"/>
      <c r="U206" s="639">
        <v>430211970</v>
      </c>
      <c r="V206" s="623">
        <v>82314974</v>
      </c>
      <c r="W206" s="623">
        <v>124814974</v>
      </c>
      <c r="X206" s="623">
        <v>114314974</v>
      </c>
      <c r="Y206" s="624">
        <f t="shared" si="79"/>
        <v>751656892</v>
      </c>
      <c r="Z206" s="1600"/>
      <c r="AA206" s="623">
        <f>+Y206</f>
        <v>751656892</v>
      </c>
      <c r="AB206" s="1481"/>
      <c r="AC206" s="626"/>
      <c r="AD206" s="627"/>
      <c r="AE206" s="1481"/>
      <c r="AF206" s="626"/>
      <c r="AG206" s="627"/>
      <c r="AH206" s="1600"/>
      <c r="AI206" s="626"/>
      <c r="AJ206" s="627"/>
      <c r="AK206" s="1600"/>
      <c r="AL206" s="626"/>
      <c r="AM206" s="627"/>
      <c r="AN206" s="1600"/>
      <c r="AO206" s="104"/>
      <c r="AP206" s="1002">
        <f t="shared" si="62"/>
        <v>751656892</v>
      </c>
      <c r="AQ206" s="18" t="str">
        <f t="shared" si="78"/>
        <v>Bien</v>
      </c>
      <c r="AR206" s="1150" t="s">
        <v>1211</v>
      </c>
    </row>
    <row r="207" spans="1:44" ht="92.25" customHeight="1" x14ac:dyDescent="0.25">
      <c r="A207" s="2048"/>
      <c r="B207" s="1509"/>
      <c r="C207" s="2215"/>
      <c r="D207" s="2215"/>
      <c r="E207" s="1996"/>
      <c r="F207" s="1983"/>
      <c r="G207" s="1985"/>
      <c r="H207" s="1988"/>
      <c r="I207" s="1991"/>
      <c r="J207" s="1994"/>
      <c r="K207" s="616" t="s">
        <v>640</v>
      </c>
      <c r="L207" s="628" t="s">
        <v>804</v>
      </c>
      <c r="M207" s="628" t="s">
        <v>107</v>
      </c>
      <c r="N207" s="628">
        <v>8</v>
      </c>
      <c r="O207" s="618"/>
      <c r="P207" s="619">
        <v>3</v>
      </c>
      <c r="Q207" s="620">
        <v>3</v>
      </c>
      <c r="R207" s="620">
        <v>2</v>
      </c>
      <c r="S207" s="621" t="s">
        <v>316</v>
      </c>
      <c r="T207" s="634">
        <f t="shared" si="80"/>
        <v>8</v>
      </c>
      <c r="U207" s="623"/>
      <c r="V207" s="623">
        <v>47250000</v>
      </c>
      <c r="W207" s="623">
        <v>47250000</v>
      </c>
      <c r="X207" s="623">
        <v>31500000</v>
      </c>
      <c r="Y207" s="624">
        <f t="shared" si="79"/>
        <v>126000000</v>
      </c>
      <c r="Z207" s="1600"/>
      <c r="AA207" s="623">
        <v>126000000</v>
      </c>
      <c r="AB207" s="1481"/>
      <c r="AC207" s="626">
        <v>1</v>
      </c>
      <c r="AD207" s="627"/>
      <c r="AE207" s="1481"/>
      <c r="AF207" s="626">
        <f t="shared" si="81"/>
        <v>0</v>
      </c>
      <c r="AG207" s="627"/>
      <c r="AH207" s="1600"/>
      <c r="AI207" s="626">
        <f t="shared" si="82"/>
        <v>0</v>
      </c>
      <c r="AJ207" s="627"/>
      <c r="AK207" s="1600"/>
      <c r="AL207" s="626">
        <f t="shared" si="83"/>
        <v>0</v>
      </c>
      <c r="AM207" s="627"/>
      <c r="AN207" s="1600"/>
      <c r="AO207" s="104">
        <f t="shared" si="84"/>
        <v>0</v>
      </c>
      <c r="AP207" s="1002">
        <f t="shared" si="62"/>
        <v>126000000</v>
      </c>
      <c r="AQ207" s="18" t="str">
        <f t="shared" si="78"/>
        <v>Bien</v>
      </c>
      <c r="AR207" s="1150" t="s">
        <v>1211</v>
      </c>
    </row>
    <row r="208" spans="1:44" ht="78" customHeight="1" x14ac:dyDescent="0.25">
      <c r="A208" s="2048"/>
      <c r="B208" s="1509"/>
      <c r="C208" s="2215"/>
      <c r="D208" s="2215"/>
      <c r="E208" s="1996"/>
      <c r="F208" s="1983"/>
      <c r="G208" s="1985"/>
      <c r="H208" s="1988"/>
      <c r="I208" s="1991"/>
      <c r="J208" s="1994"/>
      <c r="K208" s="616" t="s">
        <v>641</v>
      </c>
      <c r="L208" s="628" t="s">
        <v>211</v>
      </c>
      <c r="M208" s="628" t="s">
        <v>107</v>
      </c>
      <c r="N208" s="628">
        <v>1000</v>
      </c>
      <c r="O208" s="618">
        <v>100</v>
      </c>
      <c r="P208" s="619">
        <v>300</v>
      </c>
      <c r="Q208" s="620">
        <v>300</v>
      </c>
      <c r="R208" s="620">
        <v>300</v>
      </c>
      <c r="S208" s="621" t="s">
        <v>316</v>
      </c>
      <c r="T208" s="634">
        <f t="shared" si="80"/>
        <v>1000</v>
      </c>
      <c r="U208" s="623"/>
      <c r="V208" s="623">
        <v>50000000</v>
      </c>
      <c r="W208" s="623">
        <v>50000000</v>
      </c>
      <c r="X208" s="623">
        <v>50000000</v>
      </c>
      <c r="Y208" s="624">
        <f t="shared" si="79"/>
        <v>150000000</v>
      </c>
      <c r="Z208" s="1600"/>
      <c r="AA208" s="623">
        <v>150000000</v>
      </c>
      <c r="AB208" s="1481"/>
      <c r="AC208" s="626">
        <v>1</v>
      </c>
      <c r="AD208" s="627"/>
      <c r="AE208" s="1481"/>
      <c r="AF208" s="626">
        <f t="shared" si="81"/>
        <v>0</v>
      </c>
      <c r="AG208" s="627"/>
      <c r="AH208" s="1600"/>
      <c r="AI208" s="626">
        <f t="shared" si="82"/>
        <v>0</v>
      </c>
      <c r="AJ208" s="627"/>
      <c r="AK208" s="1600"/>
      <c r="AL208" s="626">
        <f t="shared" si="83"/>
        <v>0</v>
      </c>
      <c r="AM208" s="627"/>
      <c r="AN208" s="1600"/>
      <c r="AO208" s="104">
        <f t="shared" si="84"/>
        <v>0</v>
      </c>
      <c r="AP208" s="1002">
        <f t="shared" si="62"/>
        <v>150000000</v>
      </c>
      <c r="AQ208" s="18" t="str">
        <f t="shared" si="78"/>
        <v>Bien</v>
      </c>
      <c r="AR208" s="1150" t="s">
        <v>1211</v>
      </c>
    </row>
    <row r="209" spans="1:44" ht="62.25" customHeight="1" x14ac:dyDescent="0.25">
      <c r="A209" s="2048"/>
      <c r="B209" s="1509"/>
      <c r="C209" s="2215"/>
      <c r="D209" s="2215"/>
      <c r="E209" s="1996"/>
      <c r="F209" s="1984"/>
      <c r="G209" s="1986"/>
      <c r="H209" s="1989"/>
      <c r="I209" s="1992"/>
      <c r="J209" s="1994"/>
      <c r="K209" s="616" t="s">
        <v>805</v>
      </c>
      <c r="L209" s="628" t="s">
        <v>328</v>
      </c>
      <c r="M209" s="628" t="s">
        <v>107</v>
      </c>
      <c r="N209" s="629">
        <v>0.5</v>
      </c>
      <c r="O209" s="630">
        <v>0.05</v>
      </c>
      <c r="P209" s="631">
        <v>0.15</v>
      </c>
      <c r="Q209" s="632">
        <v>0.15</v>
      </c>
      <c r="R209" s="632">
        <v>0.15</v>
      </c>
      <c r="S209" s="621" t="s">
        <v>316</v>
      </c>
      <c r="T209" s="633">
        <f t="shared" si="80"/>
        <v>0.5</v>
      </c>
      <c r="U209" s="623"/>
      <c r="V209" s="623">
        <v>10000000</v>
      </c>
      <c r="W209" s="623">
        <v>10000000</v>
      </c>
      <c r="X209" s="623">
        <v>10000000</v>
      </c>
      <c r="Y209" s="624">
        <f t="shared" si="79"/>
        <v>30000000</v>
      </c>
      <c r="Z209" s="1600"/>
      <c r="AA209" s="623">
        <v>30000000</v>
      </c>
      <c r="AB209" s="1481"/>
      <c r="AC209" s="626">
        <v>1</v>
      </c>
      <c r="AD209" s="627"/>
      <c r="AE209" s="1481"/>
      <c r="AF209" s="626">
        <f t="shared" si="81"/>
        <v>0</v>
      </c>
      <c r="AG209" s="627"/>
      <c r="AH209" s="1600"/>
      <c r="AI209" s="626">
        <f t="shared" si="82"/>
        <v>0</v>
      </c>
      <c r="AJ209" s="627"/>
      <c r="AK209" s="1600"/>
      <c r="AL209" s="626">
        <f t="shared" si="83"/>
        <v>0</v>
      </c>
      <c r="AM209" s="627"/>
      <c r="AN209" s="1600"/>
      <c r="AO209" s="104">
        <f t="shared" si="84"/>
        <v>0</v>
      </c>
      <c r="AP209" s="1002">
        <f t="shared" si="62"/>
        <v>30000000</v>
      </c>
      <c r="AQ209" s="18" t="str">
        <f t="shared" si="78"/>
        <v>Bien</v>
      </c>
      <c r="AR209" s="1150" t="s">
        <v>1211</v>
      </c>
    </row>
    <row r="210" spans="1:44" ht="64.5" customHeight="1" thickBot="1" x14ac:dyDescent="0.3">
      <c r="A210" s="2048"/>
      <c r="B210" s="1510"/>
      <c r="C210" s="2215"/>
      <c r="D210" s="2215"/>
      <c r="E210" s="1997"/>
      <c r="F210" s="642" t="s">
        <v>798</v>
      </c>
      <c r="G210" s="643" t="s">
        <v>329</v>
      </c>
      <c r="H210" s="643" t="s">
        <v>1150</v>
      </c>
      <c r="I210" s="644">
        <v>1000</v>
      </c>
      <c r="J210" s="638" t="s">
        <v>330</v>
      </c>
      <c r="K210" s="645" t="s">
        <v>806</v>
      </c>
      <c r="L210" s="638" t="s">
        <v>323</v>
      </c>
      <c r="M210" s="646" t="s">
        <v>107</v>
      </c>
      <c r="N210" s="646">
        <v>1000</v>
      </c>
      <c r="O210" s="618">
        <v>200</v>
      </c>
      <c r="P210" s="619">
        <v>300</v>
      </c>
      <c r="Q210" s="620">
        <v>250</v>
      </c>
      <c r="R210" s="620">
        <v>250</v>
      </c>
      <c r="S210" s="621" t="s">
        <v>316</v>
      </c>
      <c r="T210" s="644">
        <f t="shared" si="80"/>
        <v>1000</v>
      </c>
      <c r="U210" s="623">
        <v>200000000</v>
      </c>
      <c r="V210" s="623">
        <v>325000000</v>
      </c>
      <c r="W210" s="623">
        <v>275000000</v>
      </c>
      <c r="X210" s="623">
        <v>320000000</v>
      </c>
      <c r="Y210" s="624">
        <f t="shared" si="79"/>
        <v>1120000000</v>
      </c>
      <c r="Z210" s="1601"/>
      <c r="AA210" s="623">
        <v>1120000000</v>
      </c>
      <c r="AB210" s="1472"/>
      <c r="AC210" s="626">
        <v>1</v>
      </c>
      <c r="AD210" s="627"/>
      <c r="AE210" s="1472"/>
      <c r="AF210" s="626">
        <f t="shared" si="81"/>
        <v>0</v>
      </c>
      <c r="AG210" s="627"/>
      <c r="AH210" s="1601"/>
      <c r="AI210" s="626">
        <f t="shared" si="82"/>
        <v>0</v>
      </c>
      <c r="AJ210" s="627"/>
      <c r="AK210" s="1601"/>
      <c r="AL210" s="626">
        <f t="shared" si="83"/>
        <v>0</v>
      </c>
      <c r="AM210" s="627"/>
      <c r="AN210" s="1601"/>
      <c r="AO210" s="104">
        <f t="shared" si="84"/>
        <v>0</v>
      </c>
      <c r="AP210" s="1002">
        <f t="shared" si="62"/>
        <v>1120000000</v>
      </c>
      <c r="AQ210" s="18" t="str">
        <f t="shared" si="78"/>
        <v>Bien</v>
      </c>
      <c r="AR210" s="1150" t="s">
        <v>1213</v>
      </c>
    </row>
    <row r="211" spans="1:44" s="288" customFormat="1" ht="45" customHeight="1" x14ac:dyDescent="0.25">
      <c r="A211" s="2048"/>
      <c r="B211" s="1896" t="s">
        <v>331</v>
      </c>
      <c r="C211" s="2226">
        <v>4502</v>
      </c>
      <c r="D211" s="2226" t="s">
        <v>1093</v>
      </c>
      <c r="E211" s="2019" t="s">
        <v>332</v>
      </c>
      <c r="F211" s="2022" t="s">
        <v>902</v>
      </c>
      <c r="G211" s="2025" t="s">
        <v>903</v>
      </c>
      <c r="H211" s="2028" t="s">
        <v>107</v>
      </c>
      <c r="I211" s="2029">
        <v>1</v>
      </c>
      <c r="J211" s="2030" t="s">
        <v>904</v>
      </c>
      <c r="K211" s="647" t="s">
        <v>905</v>
      </c>
      <c r="L211" s="648" t="s">
        <v>333</v>
      </c>
      <c r="M211" s="648" t="s">
        <v>107</v>
      </c>
      <c r="N211" s="649">
        <v>1</v>
      </c>
      <c r="O211" s="650">
        <v>0.25</v>
      </c>
      <c r="P211" s="651">
        <v>0.65</v>
      </c>
      <c r="Q211" s="651">
        <v>0.05</v>
      </c>
      <c r="R211" s="651">
        <v>0.05</v>
      </c>
      <c r="S211" s="652"/>
      <c r="T211" s="653">
        <f t="shared" ref="T211:T212" si="86">+SUM(O211:R211)</f>
        <v>1</v>
      </c>
      <c r="U211" s="654">
        <v>2755000</v>
      </c>
      <c r="V211" s="654">
        <v>2842499</v>
      </c>
      <c r="W211" s="654">
        <v>3066887</v>
      </c>
      <c r="X211" s="654">
        <v>3298007</v>
      </c>
      <c r="Y211" s="654">
        <f t="shared" si="79"/>
        <v>11962393</v>
      </c>
      <c r="Z211" s="2033">
        <f>+SUM(Y211:Y218)</f>
        <v>637616099</v>
      </c>
      <c r="AA211" s="654">
        <v>0</v>
      </c>
      <c r="AB211" s="2034">
        <f>+SUM(AA211:AA218)</f>
        <v>125508810</v>
      </c>
      <c r="AC211" s="655">
        <f t="shared" ref="AC211:AC212" si="87">+AA211/Y211</f>
        <v>0</v>
      </c>
      <c r="AD211" s="654">
        <v>11962393</v>
      </c>
      <c r="AE211" s="2034">
        <f>+SUM(AD211:AD218)</f>
        <v>487107289</v>
      </c>
      <c r="AF211" s="655">
        <f t="shared" si="81"/>
        <v>1</v>
      </c>
      <c r="AG211" s="656"/>
      <c r="AH211" s="2033">
        <f>+SUM(AG211:AG218)</f>
        <v>0</v>
      </c>
      <c r="AI211" s="655">
        <f t="shared" si="82"/>
        <v>0</v>
      </c>
      <c r="AJ211" s="656"/>
      <c r="AK211" s="2033">
        <f>+SUM(AJ211:AJ218)</f>
        <v>0</v>
      </c>
      <c r="AL211" s="655">
        <f t="shared" si="83"/>
        <v>0</v>
      </c>
      <c r="AM211" s="656"/>
      <c r="AN211" s="2033">
        <f>+SUM(AM211:AM218)</f>
        <v>25000000</v>
      </c>
      <c r="AO211" s="343">
        <f t="shared" si="84"/>
        <v>0</v>
      </c>
      <c r="AP211" s="1005">
        <f t="shared" si="62"/>
        <v>11962393</v>
      </c>
      <c r="AQ211" s="287" t="str">
        <f t="shared" si="78"/>
        <v>Bien</v>
      </c>
      <c r="AR211" s="1152" t="s">
        <v>1214</v>
      </c>
    </row>
    <row r="212" spans="1:44" s="288" customFormat="1" ht="48.75" customHeight="1" x14ac:dyDescent="0.25">
      <c r="A212" s="2048"/>
      <c r="B212" s="2017"/>
      <c r="C212" s="2226"/>
      <c r="D212" s="2226"/>
      <c r="E212" s="2020"/>
      <c r="F212" s="2023"/>
      <c r="G212" s="2026"/>
      <c r="H212" s="1205"/>
      <c r="I212" s="1205"/>
      <c r="J212" s="2031"/>
      <c r="K212" s="647" t="s">
        <v>906</v>
      </c>
      <c r="L212" s="657" t="s">
        <v>642</v>
      </c>
      <c r="M212" s="657">
        <v>40</v>
      </c>
      <c r="N212" s="659">
        <v>35</v>
      </c>
      <c r="O212" s="659">
        <v>5</v>
      </c>
      <c r="P212" s="651">
        <v>10</v>
      </c>
      <c r="Q212" s="651">
        <v>10</v>
      </c>
      <c r="R212" s="651">
        <v>10</v>
      </c>
      <c r="S212" s="652"/>
      <c r="T212" s="660">
        <f t="shared" si="86"/>
        <v>35</v>
      </c>
      <c r="U212" s="654">
        <v>2500000</v>
      </c>
      <c r="V212" s="654">
        <v>2587000</v>
      </c>
      <c r="W212" s="654">
        <v>2811300</v>
      </c>
      <c r="X212" s="654">
        <v>3042400</v>
      </c>
      <c r="Y212" s="654">
        <f t="shared" si="79"/>
        <v>10940700</v>
      </c>
      <c r="Z212" s="1205"/>
      <c r="AA212" s="654">
        <v>0</v>
      </c>
      <c r="AB212" s="1203"/>
      <c r="AC212" s="655">
        <f t="shared" si="87"/>
        <v>0</v>
      </c>
      <c r="AD212" s="654">
        <v>10940700</v>
      </c>
      <c r="AE212" s="1203"/>
      <c r="AF212" s="655">
        <f t="shared" si="81"/>
        <v>1</v>
      </c>
      <c r="AG212" s="656"/>
      <c r="AH212" s="1205"/>
      <c r="AI212" s="655">
        <f t="shared" si="82"/>
        <v>0</v>
      </c>
      <c r="AJ212" s="656"/>
      <c r="AK212" s="1205"/>
      <c r="AL212" s="655">
        <f t="shared" si="83"/>
        <v>0</v>
      </c>
      <c r="AM212" s="656"/>
      <c r="AN212" s="1205"/>
      <c r="AO212" s="343">
        <f t="shared" si="84"/>
        <v>0</v>
      </c>
      <c r="AP212" s="1005">
        <f t="shared" si="62"/>
        <v>10940700</v>
      </c>
      <c r="AQ212" s="287" t="str">
        <f t="shared" si="78"/>
        <v>Bien</v>
      </c>
      <c r="AR212" s="1155" t="s">
        <v>1215</v>
      </c>
    </row>
    <row r="213" spans="1:44" s="288" customFormat="1" ht="57.75" customHeight="1" x14ac:dyDescent="0.25">
      <c r="A213" s="2048"/>
      <c r="B213" s="2017"/>
      <c r="C213" s="1125">
        <v>1206</v>
      </c>
      <c r="D213" s="1125" t="s">
        <v>1095</v>
      </c>
      <c r="E213" s="2020"/>
      <c r="F213" s="2024"/>
      <c r="G213" s="2027"/>
      <c r="H213" s="1230"/>
      <c r="I213" s="1230"/>
      <c r="J213" s="2032"/>
      <c r="K213" s="647" t="s">
        <v>643</v>
      </c>
      <c r="L213" s="657" t="s">
        <v>67</v>
      </c>
      <c r="M213" s="661">
        <v>0</v>
      </c>
      <c r="N213" s="655">
        <v>1</v>
      </c>
      <c r="O213" s="662">
        <v>0.25</v>
      </c>
      <c r="P213" s="663">
        <v>0.25</v>
      </c>
      <c r="Q213" s="663">
        <v>0.25</v>
      </c>
      <c r="R213" s="663">
        <v>0.25</v>
      </c>
      <c r="S213" s="652"/>
      <c r="T213" s="660">
        <v>0.3</v>
      </c>
      <c r="U213" s="654">
        <v>95599529</v>
      </c>
      <c r="V213" s="654">
        <v>98467514</v>
      </c>
      <c r="W213" s="654">
        <v>101421539</v>
      </c>
      <c r="X213" s="654">
        <v>104464185</v>
      </c>
      <c r="Y213" s="654">
        <v>399952766</v>
      </c>
      <c r="Z213" s="1205"/>
      <c r="AA213" s="654">
        <v>125508810</v>
      </c>
      <c r="AB213" s="1203"/>
      <c r="AC213" s="655"/>
      <c r="AD213" s="654">
        <v>274443956</v>
      </c>
      <c r="AE213" s="1203"/>
      <c r="AF213" s="655"/>
      <c r="AG213" s="656"/>
      <c r="AH213" s="1205"/>
      <c r="AI213" s="655"/>
      <c r="AJ213" s="656"/>
      <c r="AK213" s="1205"/>
      <c r="AL213" s="655"/>
      <c r="AM213" s="656"/>
      <c r="AN213" s="1205"/>
      <c r="AO213" s="343"/>
      <c r="AP213" s="1005">
        <f t="shared" si="62"/>
        <v>399952766</v>
      </c>
      <c r="AQ213" s="287" t="str">
        <f t="shared" si="78"/>
        <v>Bien</v>
      </c>
      <c r="AR213" s="1152" t="s">
        <v>1193</v>
      </c>
    </row>
    <row r="214" spans="1:44" s="288" customFormat="1" ht="51" customHeight="1" x14ac:dyDescent="0.25">
      <c r="A214" s="2048"/>
      <c r="B214" s="2017"/>
      <c r="C214" s="2226">
        <v>4502</v>
      </c>
      <c r="D214" s="2226" t="s">
        <v>1093</v>
      </c>
      <c r="E214" s="2020"/>
      <c r="F214" s="2035" t="s">
        <v>907</v>
      </c>
      <c r="G214" s="2036" t="s">
        <v>908</v>
      </c>
      <c r="H214" s="2039" t="s">
        <v>107</v>
      </c>
      <c r="I214" s="2040">
        <v>1</v>
      </c>
      <c r="J214" s="2041" t="s">
        <v>335</v>
      </c>
      <c r="K214" s="647" t="s">
        <v>909</v>
      </c>
      <c r="L214" s="648" t="s">
        <v>242</v>
      </c>
      <c r="M214" s="648" t="s">
        <v>107</v>
      </c>
      <c r="N214" s="649">
        <v>14</v>
      </c>
      <c r="O214" s="659">
        <v>2</v>
      </c>
      <c r="P214" s="651">
        <v>4</v>
      </c>
      <c r="Q214" s="651">
        <v>4</v>
      </c>
      <c r="R214" s="651">
        <v>4</v>
      </c>
      <c r="S214" s="652"/>
      <c r="T214" s="660">
        <f t="shared" ref="T214:T216" si="88">+SUM(O214:R214)</f>
        <v>14</v>
      </c>
      <c r="U214" s="654">
        <v>1000000</v>
      </c>
      <c r="V214" s="654">
        <v>1087988</v>
      </c>
      <c r="W214" s="654">
        <v>1312376</v>
      </c>
      <c r="X214" s="654">
        <v>1543476</v>
      </c>
      <c r="Y214" s="654">
        <f t="shared" ref="Y214:Y222" si="89">+U214+V214+W214+X214</f>
        <v>4943840</v>
      </c>
      <c r="Z214" s="1205"/>
      <c r="AA214" s="654">
        <v>0</v>
      </c>
      <c r="AB214" s="1203"/>
      <c r="AC214" s="655">
        <f t="shared" ref="AC214:AC224" si="90">+AA214/Y214</f>
        <v>0</v>
      </c>
      <c r="AD214" s="654">
        <v>4943840</v>
      </c>
      <c r="AE214" s="1203"/>
      <c r="AF214" s="655">
        <f t="shared" ref="AF214:AF224" si="91">+AD214/Y214</f>
        <v>1</v>
      </c>
      <c r="AG214" s="656"/>
      <c r="AH214" s="1205"/>
      <c r="AI214" s="655">
        <f t="shared" ref="AI214:AI224" si="92">+AG214/Y214</f>
        <v>0</v>
      </c>
      <c r="AJ214" s="656"/>
      <c r="AK214" s="1205"/>
      <c r="AL214" s="655">
        <f t="shared" ref="AL214:AL224" si="93">+AJ214/Y214</f>
        <v>0</v>
      </c>
      <c r="AM214" s="656"/>
      <c r="AN214" s="1205"/>
      <c r="AO214" s="343">
        <f t="shared" ref="AO214:AO224" si="94">+AM214/Y214</f>
        <v>0</v>
      </c>
      <c r="AP214" s="1005">
        <f t="shared" ref="AP214:AP225" si="95">+AA214+AD214+AG214+AJ214+AM214</f>
        <v>4943840</v>
      </c>
      <c r="AQ214" s="287" t="str">
        <f t="shared" ref="AQ214:AQ224" si="96">+IF(Y214=AP214,"Bien","Error")</f>
        <v>Bien</v>
      </c>
      <c r="AR214" s="1152" t="s">
        <v>1193</v>
      </c>
    </row>
    <row r="215" spans="1:44" s="288" customFormat="1" ht="66" customHeight="1" x14ac:dyDescent="0.25">
      <c r="A215" s="2048"/>
      <c r="B215" s="2017"/>
      <c r="C215" s="2226"/>
      <c r="D215" s="2226"/>
      <c r="E215" s="2020"/>
      <c r="F215" s="2023"/>
      <c r="G215" s="2037"/>
      <c r="H215" s="1205"/>
      <c r="I215" s="1281"/>
      <c r="J215" s="1281"/>
      <c r="K215" s="647" t="s">
        <v>910</v>
      </c>
      <c r="L215" s="657" t="s">
        <v>39</v>
      </c>
      <c r="M215" s="661">
        <v>0.1</v>
      </c>
      <c r="N215" s="655">
        <v>1</v>
      </c>
      <c r="O215" s="664">
        <v>0.2</v>
      </c>
      <c r="P215" s="663">
        <v>0.3</v>
      </c>
      <c r="Q215" s="663">
        <v>0.3</v>
      </c>
      <c r="R215" s="663">
        <v>0.2</v>
      </c>
      <c r="S215" s="652"/>
      <c r="T215" s="665">
        <f t="shared" si="88"/>
        <v>1</v>
      </c>
      <c r="U215" s="654">
        <v>2560000</v>
      </c>
      <c r="V215" s="654">
        <v>2647494</v>
      </c>
      <c r="W215" s="654">
        <v>2871694</v>
      </c>
      <c r="X215" s="654">
        <v>3102834</v>
      </c>
      <c r="Y215" s="654">
        <f t="shared" si="89"/>
        <v>11182022</v>
      </c>
      <c r="Z215" s="1205"/>
      <c r="AA215" s="654">
        <v>0</v>
      </c>
      <c r="AB215" s="1203"/>
      <c r="AC215" s="655">
        <f t="shared" si="90"/>
        <v>0</v>
      </c>
      <c r="AD215" s="654">
        <v>11182022</v>
      </c>
      <c r="AE215" s="1203"/>
      <c r="AF215" s="655">
        <f t="shared" si="91"/>
        <v>1</v>
      </c>
      <c r="AG215" s="656"/>
      <c r="AH215" s="1205"/>
      <c r="AI215" s="655">
        <f t="shared" si="92"/>
        <v>0</v>
      </c>
      <c r="AJ215" s="656"/>
      <c r="AK215" s="1205"/>
      <c r="AL215" s="655">
        <f t="shared" si="93"/>
        <v>0</v>
      </c>
      <c r="AM215" s="656"/>
      <c r="AN215" s="1205"/>
      <c r="AO215" s="343">
        <f t="shared" si="94"/>
        <v>0</v>
      </c>
      <c r="AP215" s="1005">
        <f t="shared" si="95"/>
        <v>11182022</v>
      </c>
      <c r="AQ215" s="287" t="str">
        <f t="shared" si="96"/>
        <v>Bien</v>
      </c>
      <c r="AR215" s="1152" t="s">
        <v>1216</v>
      </c>
    </row>
    <row r="216" spans="1:44" s="288" customFormat="1" ht="35.25" customHeight="1" x14ac:dyDescent="0.25">
      <c r="A216" s="2048"/>
      <c r="B216" s="2017"/>
      <c r="C216" s="2226"/>
      <c r="D216" s="2226"/>
      <c r="E216" s="2020"/>
      <c r="F216" s="2023"/>
      <c r="G216" s="2037"/>
      <c r="H216" s="1205"/>
      <c r="I216" s="1281"/>
      <c r="J216" s="1281"/>
      <c r="K216" s="666" t="s">
        <v>911</v>
      </c>
      <c r="L216" s="657" t="s">
        <v>347</v>
      </c>
      <c r="M216" s="657" t="s">
        <v>107</v>
      </c>
      <c r="N216" s="655">
        <v>1</v>
      </c>
      <c r="O216" s="664">
        <v>0</v>
      </c>
      <c r="P216" s="663">
        <v>0</v>
      </c>
      <c r="Q216" s="663">
        <v>1</v>
      </c>
      <c r="R216" s="663">
        <v>0</v>
      </c>
      <c r="S216" s="652"/>
      <c r="T216" s="665">
        <f t="shared" si="88"/>
        <v>1</v>
      </c>
      <c r="U216" s="667">
        <v>0</v>
      </c>
      <c r="V216" s="667">
        <v>0</v>
      </c>
      <c r="W216" s="667">
        <v>40224576</v>
      </c>
      <c r="X216" s="667">
        <v>0</v>
      </c>
      <c r="Y216" s="667">
        <f t="shared" si="89"/>
        <v>40224576</v>
      </c>
      <c r="Z216" s="1205"/>
      <c r="AA216" s="667">
        <v>0</v>
      </c>
      <c r="AB216" s="1203"/>
      <c r="AC216" s="668">
        <f t="shared" si="90"/>
        <v>0</v>
      </c>
      <c r="AD216" s="667">
        <v>25224576</v>
      </c>
      <c r="AE216" s="1203"/>
      <c r="AF216" s="668">
        <f t="shared" si="91"/>
        <v>0.62709364543705814</v>
      </c>
      <c r="AG216" s="669"/>
      <c r="AH216" s="1205"/>
      <c r="AI216" s="668">
        <f t="shared" si="92"/>
        <v>0</v>
      </c>
      <c r="AJ216" s="669"/>
      <c r="AK216" s="1205"/>
      <c r="AL216" s="668">
        <f t="shared" si="93"/>
        <v>0</v>
      </c>
      <c r="AM216" s="669">
        <v>15000000</v>
      </c>
      <c r="AN216" s="1205"/>
      <c r="AO216" s="344">
        <f t="shared" si="94"/>
        <v>0.3729063545629418</v>
      </c>
      <c r="AP216" s="1005">
        <f t="shared" si="95"/>
        <v>40224576</v>
      </c>
      <c r="AQ216" s="287" t="str">
        <f t="shared" si="96"/>
        <v>Bien</v>
      </c>
      <c r="AR216" s="1152" t="s">
        <v>1193</v>
      </c>
    </row>
    <row r="217" spans="1:44" s="288" customFormat="1" ht="52.5" customHeight="1" x14ac:dyDescent="0.25">
      <c r="A217" s="2048"/>
      <c r="B217" s="2017"/>
      <c r="C217" s="2226"/>
      <c r="D217" s="2226"/>
      <c r="E217" s="2020"/>
      <c r="F217" s="2023"/>
      <c r="G217" s="2037"/>
      <c r="H217" s="1205"/>
      <c r="I217" s="1281"/>
      <c r="J217" s="1281"/>
      <c r="K217" s="647" t="s">
        <v>644</v>
      </c>
      <c r="L217" s="657" t="s">
        <v>252</v>
      </c>
      <c r="M217" s="657">
        <v>357</v>
      </c>
      <c r="N217" s="658">
        <v>357</v>
      </c>
      <c r="O217" s="659">
        <v>57</v>
      </c>
      <c r="P217" s="651">
        <v>100</v>
      </c>
      <c r="Q217" s="651">
        <v>100</v>
      </c>
      <c r="R217" s="651">
        <v>100</v>
      </c>
      <c r="S217" s="652"/>
      <c r="T217" s="670">
        <f t="shared" ref="T217" si="97">SUM(O217:R217)</f>
        <v>357</v>
      </c>
      <c r="U217" s="654">
        <v>2000000</v>
      </c>
      <c r="V217" s="654">
        <v>2087494</v>
      </c>
      <c r="W217" s="654">
        <v>2311494</v>
      </c>
      <c r="X217" s="654">
        <v>2542614</v>
      </c>
      <c r="Y217" s="654">
        <f t="shared" si="89"/>
        <v>8941602</v>
      </c>
      <c r="Z217" s="1205"/>
      <c r="AA217" s="654">
        <v>0</v>
      </c>
      <c r="AB217" s="1203"/>
      <c r="AC217" s="655">
        <f t="shared" si="90"/>
        <v>0</v>
      </c>
      <c r="AD217" s="654">
        <v>8941602</v>
      </c>
      <c r="AE217" s="1203"/>
      <c r="AF217" s="655">
        <f t="shared" si="91"/>
        <v>1</v>
      </c>
      <c r="AG217" s="656"/>
      <c r="AH217" s="1205"/>
      <c r="AI217" s="655">
        <f t="shared" si="92"/>
        <v>0</v>
      </c>
      <c r="AJ217" s="656"/>
      <c r="AK217" s="1205"/>
      <c r="AL217" s="655">
        <f t="shared" si="93"/>
        <v>0</v>
      </c>
      <c r="AM217" s="656"/>
      <c r="AN217" s="1205"/>
      <c r="AO217" s="343">
        <f t="shared" si="94"/>
        <v>0</v>
      </c>
      <c r="AP217" s="1005">
        <f t="shared" si="95"/>
        <v>8941602</v>
      </c>
      <c r="AQ217" s="287" t="str">
        <f t="shared" si="96"/>
        <v>Bien</v>
      </c>
      <c r="AR217" s="1152" t="s">
        <v>1216</v>
      </c>
    </row>
    <row r="218" spans="1:44" s="288" customFormat="1" ht="66.75" customHeight="1" x14ac:dyDescent="0.25">
      <c r="A218" s="2048"/>
      <c r="B218" s="2017"/>
      <c r="C218" s="2226"/>
      <c r="D218" s="2226"/>
      <c r="E218" s="2021"/>
      <c r="F218" s="2024"/>
      <c r="G218" s="2038"/>
      <c r="H218" s="1230"/>
      <c r="I218" s="1207"/>
      <c r="J218" s="1207"/>
      <c r="K218" s="647" t="s">
        <v>336</v>
      </c>
      <c r="L218" s="657" t="s">
        <v>39</v>
      </c>
      <c r="M218" s="661">
        <v>1</v>
      </c>
      <c r="N218" s="655">
        <v>1</v>
      </c>
      <c r="O218" s="664">
        <v>0.2</v>
      </c>
      <c r="P218" s="663">
        <v>0.3</v>
      </c>
      <c r="Q218" s="663">
        <v>0.2</v>
      </c>
      <c r="R218" s="663">
        <v>0.3</v>
      </c>
      <c r="S218" s="652"/>
      <c r="T218" s="665">
        <f t="shared" ref="T218:T224" si="98">+SUM(O218:R218)</f>
        <v>1</v>
      </c>
      <c r="U218" s="654">
        <f>25017288+10000000+5000000</f>
        <v>40017288</v>
      </c>
      <c r="V218" s="654">
        <f>41104782</f>
        <v>41104782</v>
      </c>
      <c r="W218" s="654">
        <v>21329647</v>
      </c>
      <c r="X218" s="654">
        <f>47016483</f>
        <v>47016483</v>
      </c>
      <c r="Y218" s="654">
        <f t="shared" si="89"/>
        <v>149468200</v>
      </c>
      <c r="Z218" s="1230"/>
      <c r="AA218" s="654">
        <v>0</v>
      </c>
      <c r="AB218" s="1274"/>
      <c r="AC218" s="655">
        <f t="shared" si="90"/>
        <v>0</v>
      </c>
      <c r="AD218" s="654">
        <v>139468200</v>
      </c>
      <c r="AE218" s="1274"/>
      <c r="AF218" s="655">
        <f t="shared" si="91"/>
        <v>0.93309613683713322</v>
      </c>
      <c r="AG218" s="656"/>
      <c r="AH218" s="1230"/>
      <c r="AI218" s="655">
        <f t="shared" si="92"/>
        <v>0</v>
      </c>
      <c r="AJ218" s="656"/>
      <c r="AK218" s="1230"/>
      <c r="AL218" s="655">
        <f t="shared" si="93"/>
        <v>0</v>
      </c>
      <c r="AM218" s="656">
        <v>10000000</v>
      </c>
      <c r="AN218" s="1230"/>
      <c r="AO218" s="343">
        <f t="shared" si="94"/>
        <v>6.6903863162866756E-2</v>
      </c>
      <c r="AP218" s="1005">
        <f t="shared" si="95"/>
        <v>149468200</v>
      </c>
      <c r="AQ218" s="287" t="str">
        <f t="shared" si="96"/>
        <v>Bien</v>
      </c>
      <c r="AR218" s="1152" t="s">
        <v>1193</v>
      </c>
    </row>
    <row r="219" spans="1:44" s="288" customFormat="1" ht="62.25" customHeight="1" x14ac:dyDescent="0.25">
      <c r="A219" s="2048"/>
      <c r="B219" s="2017"/>
      <c r="C219" s="2226">
        <v>4101</v>
      </c>
      <c r="D219" s="2227" t="s">
        <v>1094</v>
      </c>
      <c r="E219" s="2042" t="s">
        <v>912</v>
      </c>
      <c r="F219" s="2035" t="s">
        <v>913</v>
      </c>
      <c r="G219" s="2036" t="s">
        <v>914</v>
      </c>
      <c r="H219" s="2039">
        <v>144906</v>
      </c>
      <c r="I219" s="2079">
        <v>3500</v>
      </c>
      <c r="J219" s="2080" t="s">
        <v>337</v>
      </c>
      <c r="K219" s="647" t="s">
        <v>645</v>
      </c>
      <c r="L219" s="648" t="s">
        <v>39</v>
      </c>
      <c r="M219" s="671">
        <v>0.8</v>
      </c>
      <c r="N219" s="672">
        <v>1</v>
      </c>
      <c r="O219" s="664">
        <v>0.2</v>
      </c>
      <c r="P219" s="663">
        <v>0.3</v>
      </c>
      <c r="Q219" s="663">
        <v>0.3</v>
      </c>
      <c r="R219" s="663">
        <v>0.2</v>
      </c>
      <c r="S219" s="652"/>
      <c r="T219" s="665">
        <f t="shared" si="98"/>
        <v>1</v>
      </c>
      <c r="U219" s="654">
        <f>588034000</f>
        <v>588034000</v>
      </c>
      <c r="V219" s="654">
        <f>595837400</f>
        <v>595837400</v>
      </c>
      <c r="W219" s="654">
        <f>605837400</f>
        <v>605837400</v>
      </c>
      <c r="X219" s="654">
        <f>615837400</f>
        <v>615837400</v>
      </c>
      <c r="Y219" s="654">
        <f t="shared" si="89"/>
        <v>2405546200</v>
      </c>
      <c r="Z219" s="1968">
        <f>+SUM(Y219:Y222)</f>
        <v>4200760196</v>
      </c>
      <c r="AA219" s="654">
        <v>2405546200</v>
      </c>
      <c r="AB219" s="2121">
        <f>+SUM(AA219:AA222)</f>
        <v>3767037907</v>
      </c>
      <c r="AC219" s="655">
        <f t="shared" si="90"/>
        <v>1</v>
      </c>
      <c r="AD219" s="656">
        <v>0</v>
      </c>
      <c r="AE219" s="2121">
        <f>+SUM(AD219:AD222)</f>
        <v>224592409</v>
      </c>
      <c r="AF219" s="655">
        <f t="shared" si="91"/>
        <v>0</v>
      </c>
      <c r="AG219" s="656"/>
      <c r="AH219" s="1968">
        <f>+SUM(AG219:AG222)</f>
        <v>0</v>
      </c>
      <c r="AI219" s="655">
        <f t="shared" si="92"/>
        <v>0</v>
      </c>
      <c r="AJ219" s="656"/>
      <c r="AK219" s="1968">
        <f>+SUM(AJ219:AJ222)</f>
        <v>0</v>
      </c>
      <c r="AL219" s="655">
        <f t="shared" si="93"/>
        <v>0</v>
      </c>
      <c r="AM219" s="656"/>
      <c r="AN219" s="1968">
        <f>+SUM(AM219:AM222)</f>
        <v>209129880</v>
      </c>
      <c r="AO219" s="343">
        <f t="shared" si="94"/>
        <v>0</v>
      </c>
      <c r="AP219" s="1005">
        <f t="shared" si="95"/>
        <v>2405546200</v>
      </c>
      <c r="AQ219" s="287" t="str">
        <f t="shared" si="96"/>
        <v>Bien</v>
      </c>
      <c r="AR219" s="1152" t="s">
        <v>1217</v>
      </c>
    </row>
    <row r="220" spans="1:44" s="288" customFormat="1" ht="39.75" customHeight="1" x14ac:dyDescent="0.25">
      <c r="A220" s="2048"/>
      <c r="B220" s="2017"/>
      <c r="C220" s="2226"/>
      <c r="D220" s="2227"/>
      <c r="E220" s="2020"/>
      <c r="F220" s="2023"/>
      <c r="G220" s="2023"/>
      <c r="H220" s="1205"/>
      <c r="I220" s="1205"/>
      <c r="J220" s="1281"/>
      <c r="K220" s="647" t="s">
        <v>915</v>
      </c>
      <c r="L220" s="657" t="s">
        <v>878</v>
      </c>
      <c r="M220" s="661">
        <v>0.5</v>
      </c>
      <c r="N220" s="655">
        <v>1</v>
      </c>
      <c r="O220" s="664">
        <v>0</v>
      </c>
      <c r="P220" s="663">
        <v>1</v>
      </c>
      <c r="Q220" s="663">
        <v>0</v>
      </c>
      <c r="R220" s="663">
        <v>0</v>
      </c>
      <c r="S220" s="652"/>
      <c r="T220" s="665">
        <f t="shared" si="98"/>
        <v>1</v>
      </c>
      <c r="U220" s="654">
        <v>0</v>
      </c>
      <c r="V220" s="654">
        <f>48576705</f>
        <v>48576705</v>
      </c>
      <c r="W220" s="654">
        <v>0</v>
      </c>
      <c r="X220" s="654">
        <v>0</v>
      </c>
      <c r="Y220" s="654">
        <f t="shared" si="89"/>
        <v>48576705</v>
      </c>
      <c r="Z220" s="1205"/>
      <c r="AA220" s="654">
        <v>48576705</v>
      </c>
      <c r="AB220" s="1203"/>
      <c r="AC220" s="655">
        <f t="shared" si="90"/>
        <v>1</v>
      </c>
      <c r="AD220" s="656">
        <v>0</v>
      </c>
      <c r="AE220" s="1203"/>
      <c r="AF220" s="655">
        <f t="shared" si="91"/>
        <v>0</v>
      </c>
      <c r="AG220" s="656"/>
      <c r="AH220" s="1205"/>
      <c r="AI220" s="655">
        <f t="shared" si="92"/>
        <v>0</v>
      </c>
      <c r="AJ220" s="656"/>
      <c r="AK220" s="1205"/>
      <c r="AL220" s="655">
        <f t="shared" si="93"/>
        <v>0</v>
      </c>
      <c r="AM220" s="656"/>
      <c r="AN220" s="1205"/>
      <c r="AO220" s="343">
        <f t="shared" si="94"/>
        <v>0</v>
      </c>
      <c r="AP220" s="1005">
        <f t="shared" si="95"/>
        <v>48576705</v>
      </c>
      <c r="AQ220" s="287" t="str">
        <f t="shared" si="96"/>
        <v>Bien</v>
      </c>
      <c r="AR220" s="1152" t="s">
        <v>1193</v>
      </c>
    </row>
    <row r="221" spans="1:44" s="288" customFormat="1" ht="44.25" customHeight="1" x14ac:dyDescent="0.25">
      <c r="A221" s="2048"/>
      <c r="B221" s="2017"/>
      <c r="C221" s="2226"/>
      <c r="D221" s="2227"/>
      <c r="E221" s="2020"/>
      <c r="F221" s="2023"/>
      <c r="G221" s="2023"/>
      <c r="H221" s="1205"/>
      <c r="I221" s="1205"/>
      <c r="J221" s="1281"/>
      <c r="K221" s="673" t="s">
        <v>646</v>
      </c>
      <c r="L221" s="657" t="s">
        <v>39</v>
      </c>
      <c r="M221" s="661">
        <v>0.85</v>
      </c>
      <c r="N221" s="655">
        <v>1</v>
      </c>
      <c r="O221" s="664">
        <v>0.1</v>
      </c>
      <c r="P221" s="663">
        <v>0.4</v>
      </c>
      <c r="Q221" s="663">
        <v>0.4</v>
      </c>
      <c r="R221" s="663">
        <v>0.1</v>
      </c>
      <c r="S221" s="652"/>
      <c r="T221" s="665">
        <f t="shared" si="98"/>
        <v>1</v>
      </c>
      <c r="U221" s="654">
        <f>256793600+52282470</f>
        <v>309076070</v>
      </c>
      <c r="V221" s="654">
        <f>222932839+52282470</f>
        <v>275215309</v>
      </c>
      <c r="W221" s="654">
        <f>285332644+52282470</f>
        <v>337615114</v>
      </c>
      <c r="X221" s="654">
        <f>299990437+52282470</f>
        <v>352272907</v>
      </c>
      <c r="Y221" s="654">
        <f>+U221+V221+W221+X221</f>
        <v>1274179400</v>
      </c>
      <c r="Z221" s="1205"/>
      <c r="AA221" s="654">
        <v>901699904</v>
      </c>
      <c r="AB221" s="1203"/>
      <c r="AC221" s="655">
        <f t="shared" si="90"/>
        <v>0.70767107363374415</v>
      </c>
      <c r="AD221" s="654">
        <v>163349616</v>
      </c>
      <c r="AE221" s="1203"/>
      <c r="AF221" s="655">
        <f t="shared" si="91"/>
        <v>0.12819985631536657</v>
      </c>
      <c r="AG221" s="656"/>
      <c r="AH221" s="1205"/>
      <c r="AI221" s="655">
        <f t="shared" si="92"/>
        <v>0</v>
      </c>
      <c r="AJ221" s="656"/>
      <c r="AK221" s="1205"/>
      <c r="AL221" s="655">
        <f t="shared" si="93"/>
        <v>0</v>
      </c>
      <c r="AM221" s="656">
        <v>209129880</v>
      </c>
      <c r="AN221" s="1205"/>
      <c r="AO221" s="343">
        <f t="shared" si="94"/>
        <v>0.16412907005088923</v>
      </c>
      <c r="AP221" s="1005">
        <f t="shared" si="95"/>
        <v>1274179400</v>
      </c>
      <c r="AQ221" s="287" t="str">
        <f t="shared" si="96"/>
        <v>Bien</v>
      </c>
      <c r="AR221" s="1152" t="s">
        <v>1217</v>
      </c>
    </row>
    <row r="222" spans="1:44" s="288" customFormat="1" ht="56.25" customHeight="1" thickBot="1" x14ac:dyDescent="0.3">
      <c r="A222" s="2048"/>
      <c r="B222" s="2018"/>
      <c r="C222" s="2226"/>
      <c r="D222" s="2227"/>
      <c r="E222" s="2043"/>
      <c r="F222" s="2023"/>
      <c r="G222" s="2023"/>
      <c r="H222" s="1205"/>
      <c r="I222" s="1205"/>
      <c r="J222" s="1281"/>
      <c r="K222" s="673" t="s">
        <v>338</v>
      </c>
      <c r="L222" s="657" t="s">
        <v>228</v>
      </c>
      <c r="M222" s="661">
        <v>0.8</v>
      </c>
      <c r="N222" s="655">
        <v>1</v>
      </c>
      <c r="O222" s="664">
        <v>0.1</v>
      </c>
      <c r="P222" s="663">
        <v>0.25</v>
      </c>
      <c r="Q222" s="663">
        <v>0.25</v>
      </c>
      <c r="R222" s="663">
        <v>0.2</v>
      </c>
      <c r="S222" s="652"/>
      <c r="T222" s="674">
        <f t="shared" si="98"/>
        <v>0.8</v>
      </c>
      <c r="U222" s="654">
        <v>109280000</v>
      </c>
      <c r="V222" s="654">
        <f>115383884</f>
        <v>115383884</v>
      </c>
      <c r="W222" s="654">
        <f>121042709</f>
        <v>121042709</v>
      </c>
      <c r="X222" s="654">
        <f>126751298</f>
        <v>126751298</v>
      </c>
      <c r="Y222" s="654">
        <f t="shared" si="89"/>
        <v>472457891</v>
      </c>
      <c r="Z222" s="1969"/>
      <c r="AA222" s="654">
        <f>411215098</f>
        <v>411215098</v>
      </c>
      <c r="AB222" s="2134"/>
      <c r="AC222" s="655">
        <f t="shared" si="90"/>
        <v>0.87037407107250542</v>
      </c>
      <c r="AD222" s="654">
        <f>61242793</f>
        <v>61242793</v>
      </c>
      <c r="AE222" s="2134"/>
      <c r="AF222" s="655">
        <f t="shared" si="91"/>
        <v>0.12962592892749461</v>
      </c>
      <c r="AG222" s="656"/>
      <c r="AH222" s="1969"/>
      <c r="AI222" s="655">
        <f t="shared" si="92"/>
        <v>0</v>
      </c>
      <c r="AJ222" s="656"/>
      <c r="AK222" s="1969"/>
      <c r="AL222" s="655">
        <f t="shared" si="93"/>
        <v>0</v>
      </c>
      <c r="AM222" s="656"/>
      <c r="AN222" s="1969"/>
      <c r="AO222" s="343">
        <f t="shared" si="94"/>
        <v>0</v>
      </c>
      <c r="AP222" s="1005">
        <f t="shared" si="95"/>
        <v>472457891</v>
      </c>
      <c r="AQ222" s="287" t="str">
        <f t="shared" si="96"/>
        <v>Bien</v>
      </c>
      <c r="AR222" s="1152" t="s">
        <v>1217</v>
      </c>
    </row>
    <row r="223" spans="1:44" s="288" customFormat="1" ht="48" customHeight="1" x14ac:dyDescent="0.25">
      <c r="A223" s="2048"/>
      <c r="B223" s="1896" t="s">
        <v>339</v>
      </c>
      <c r="C223" s="2226">
        <v>4501</v>
      </c>
      <c r="D223" s="2226" t="s">
        <v>1096</v>
      </c>
      <c r="E223" s="1899" t="s">
        <v>340</v>
      </c>
      <c r="F223" s="1901" t="s">
        <v>1151</v>
      </c>
      <c r="G223" s="2001" t="s">
        <v>916</v>
      </c>
      <c r="H223" s="2004" t="s">
        <v>107</v>
      </c>
      <c r="I223" s="2000">
        <v>1</v>
      </c>
      <c r="J223" s="2008" t="s">
        <v>341</v>
      </c>
      <c r="K223" s="675" t="s">
        <v>647</v>
      </c>
      <c r="L223" s="676" t="s">
        <v>39</v>
      </c>
      <c r="M223" s="677">
        <v>0</v>
      </c>
      <c r="N223" s="677">
        <v>1</v>
      </c>
      <c r="O223" s="678">
        <v>0.25</v>
      </c>
      <c r="P223" s="679">
        <v>0.25</v>
      </c>
      <c r="Q223" s="679">
        <v>0.25</v>
      </c>
      <c r="R223" s="679">
        <v>0.25</v>
      </c>
      <c r="S223" s="680"/>
      <c r="T223" s="681">
        <f t="shared" si="98"/>
        <v>1</v>
      </c>
      <c r="U223" s="682">
        <v>376459279</v>
      </c>
      <c r="V223" s="682">
        <v>417091415</v>
      </c>
      <c r="W223" s="682">
        <v>449609872</v>
      </c>
      <c r="X223" s="682">
        <v>484594335</v>
      </c>
      <c r="Y223" s="683">
        <f>U223+V223+W223+X223</f>
        <v>1727754901</v>
      </c>
      <c r="Z223" s="2010">
        <f>+SUM(Y223:Y226)</f>
        <v>7907639601</v>
      </c>
      <c r="AA223" s="683">
        <f>Y223-30000000</f>
        <v>1697754901</v>
      </c>
      <c r="AB223" s="2011">
        <f>+SUM(AA223:AA226)</f>
        <v>7877639601</v>
      </c>
      <c r="AC223" s="684">
        <f t="shared" si="90"/>
        <v>0.98263642604478418</v>
      </c>
      <c r="AD223" s="685"/>
      <c r="AE223" s="2011">
        <f>+SUM(AD223:AD226)</f>
        <v>0</v>
      </c>
      <c r="AF223" s="684">
        <f t="shared" si="91"/>
        <v>0</v>
      </c>
      <c r="AG223" s="685"/>
      <c r="AH223" s="2010">
        <f>+SUM(AG223:AG226)</f>
        <v>0</v>
      </c>
      <c r="AI223" s="684">
        <f t="shared" si="92"/>
        <v>0</v>
      </c>
      <c r="AJ223" s="685"/>
      <c r="AK223" s="2010">
        <f>+SUM(AJ223:AJ226)</f>
        <v>0</v>
      </c>
      <c r="AL223" s="684">
        <f t="shared" si="93"/>
        <v>0</v>
      </c>
      <c r="AM223" s="685">
        <v>30000000</v>
      </c>
      <c r="AN223" s="2010">
        <f>+SUM(AM223:AM226)</f>
        <v>30000000</v>
      </c>
      <c r="AO223" s="343">
        <f t="shared" si="94"/>
        <v>1.7363573955215768E-2</v>
      </c>
      <c r="AP223" s="1005">
        <f t="shared" si="95"/>
        <v>1727754901</v>
      </c>
      <c r="AQ223" s="287" t="str">
        <f t="shared" si="96"/>
        <v>Bien</v>
      </c>
      <c r="AR223" s="1152" t="s">
        <v>1218</v>
      </c>
    </row>
    <row r="224" spans="1:44" s="288" customFormat="1" ht="32.25" customHeight="1" x14ac:dyDescent="0.25">
      <c r="A224" s="2048"/>
      <c r="B224" s="1897"/>
      <c r="C224" s="2226"/>
      <c r="D224" s="2226"/>
      <c r="E224" s="1900"/>
      <c r="F224" s="1902"/>
      <c r="G224" s="2002"/>
      <c r="H224" s="2005"/>
      <c r="I224" s="2007"/>
      <c r="J224" s="2009"/>
      <c r="K224" s="1906" t="s">
        <v>917</v>
      </c>
      <c r="L224" s="686" t="s">
        <v>648</v>
      </c>
      <c r="M224" s="684">
        <v>0</v>
      </c>
      <c r="N224" s="684">
        <v>1</v>
      </c>
      <c r="O224" s="687">
        <v>0.2</v>
      </c>
      <c r="P224" s="688">
        <v>0.5</v>
      </c>
      <c r="Q224" s="688">
        <v>0.3</v>
      </c>
      <c r="R224" s="689">
        <v>0</v>
      </c>
      <c r="S224" s="680"/>
      <c r="T224" s="690">
        <f t="shared" si="98"/>
        <v>1</v>
      </c>
      <c r="U224" s="2145">
        <v>350000000</v>
      </c>
      <c r="V224" s="2145">
        <v>357928466</v>
      </c>
      <c r="W224" s="2145">
        <v>366094786</v>
      </c>
      <c r="X224" s="2145">
        <v>377057979</v>
      </c>
      <c r="Y224" s="2145">
        <f>+U224+V224+W224+X224</f>
        <v>1451081231</v>
      </c>
      <c r="Z224" s="2009"/>
      <c r="AA224" s="2145">
        <f t="shared" ref="AA224" si="99">Y224</f>
        <v>1451081231</v>
      </c>
      <c r="AB224" s="1979"/>
      <c r="AC224" s="2000">
        <f t="shared" si="90"/>
        <v>1</v>
      </c>
      <c r="AD224" s="1998"/>
      <c r="AE224" s="1979"/>
      <c r="AF224" s="2000">
        <f t="shared" si="91"/>
        <v>0</v>
      </c>
      <c r="AG224" s="1998"/>
      <c r="AH224" s="2009"/>
      <c r="AI224" s="2000">
        <f t="shared" si="92"/>
        <v>0</v>
      </c>
      <c r="AJ224" s="1998"/>
      <c r="AK224" s="2009"/>
      <c r="AL224" s="2000">
        <f t="shared" si="93"/>
        <v>0</v>
      </c>
      <c r="AM224" s="1998"/>
      <c r="AN224" s="2009"/>
      <c r="AO224" s="2138">
        <f t="shared" si="94"/>
        <v>0</v>
      </c>
      <c r="AP224" s="1005">
        <f t="shared" si="95"/>
        <v>1451081231</v>
      </c>
      <c r="AQ224" s="287" t="str">
        <f t="shared" si="96"/>
        <v>Bien</v>
      </c>
      <c r="AR224" s="1152" t="s">
        <v>1218</v>
      </c>
    </row>
    <row r="225" spans="1:136" s="288" customFormat="1" ht="30.75" customHeight="1" x14ac:dyDescent="0.25">
      <c r="A225" s="2048"/>
      <c r="B225" s="1897"/>
      <c r="C225" s="2226"/>
      <c r="D225" s="2226"/>
      <c r="E225" s="1900"/>
      <c r="F225" s="1902"/>
      <c r="G225" s="2002"/>
      <c r="H225" s="2005"/>
      <c r="I225" s="2007"/>
      <c r="J225" s="2009"/>
      <c r="K225" s="1903"/>
      <c r="L225" s="686" t="s">
        <v>39</v>
      </c>
      <c r="M225" s="684">
        <v>0</v>
      </c>
      <c r="N225" s="684">
        <v>0.25</v>
      </c>
      <c r="O225" s="691">
        <v>0</v>
      </c>
      <c r="P225" s="679">
        <v>0.05</v>
      </c>
      <c r="Q225" s="679">
        <v>0.1</v>
      </c>
      <c r="R225" s="679">
        <v>0.1</v>
      </c>
      <c r="S225" s="680"/>
      <c r="T225" s="692">
        <v>0.25</v>
      </c>
      <c r="U225" s="1999"/>
      <c r="V225" s="1999"/>
      <c r="W225" s="1999"/>
      <c r="X225" s="1999"/>
      <c r="Y225" s="1999"/>
      <c r="Z225" s="2009"/>
      <c r="AA225" s="1999"/>
      <c r="AB225" s="1979"/>
      <c r="AC225" s="1999"/>
      <c r="AD225" s="1999"/>
      <c r="AE225" s="1979"/>
      <c r="AF225" s="1999"/>
      <c r="AG225" s="1999"/>
      <c r="AH225" s="2009"/>
      <c r="AI225" s="1999"/>
      <c r="AJ225" s="1999"/>
      <c r="AK225" s="2009"/>
      <c r="AL225" s="1999"/>
      <c r="AM225" s="1999"/>
      <c r="AN225" s="2009"/>
      <c r="AO225" s="2013"/>
      <c r="AP225" s="1005">
        <f t="shared" si="95"/>
        <v>0</v>
      </c>
      <c r="AQ225" s="287"/>
      <c r="AR225" s="1152" t="s">
        <v>1218</v>
      </c>
    </row>
    <row r="226" spans="1:136" s="288" customFormat="1" ht="40.5" customHeight="1" x14ac:dyDescent="0.25">
      <c r="A226" s="2048"/>
      <c r="B226" s="1897"/>
      <c r="C226" s="2226"/>
      <c r="D226" s="2226"/>
      <c r="E226" s="1900"/>
      <c r="F226" s="1903"/>
      <c r="G226" s="2003"/>
      <c r="H226" s="2006"/>
      <c r="I226" s="1999"/>
      <c r="J226" s="2009"/>
      <c r="K226" s="693" t="s">
        <v>649</v>
      </c>
      <c r="L226" s="694" t="s">
        <v>39</v>
      </c>
      <c r="M226" s="695">
        <v>0</v>
      </c>
      <c r="N226" s="695">
        <v>1</v>
      </c>
      <c r="O226" s="696">
        <v>0.1</v>
      </c>
      <c r="P226" s="697">
        <v>0.3</v>
      </c>
      <c r="Q226" s="697">
        <v>0.3</v>
      </c>
      <c r="R226" s="697">
        <v>0.3</v>
      </c>
      <c r="S226" s="698"/>
      <c r="T226" s="699">
        <f t="shared" ref="T226:T238" si="100">+SUM(O226:R226)</f>
        <v>1</v>
      </c>
      <c r="U226" s="700">
        <v>1156509638</v>
      </c>
      <c r="V226" s="700">
        <v>1174438104</v>
      </c>
      <c r="W226" s="700">
        <v>1191937066</v>
      </c>
      <c r="X226" s="700">
        <v>1205918661</v>
      </c>
      <c r="Y226" s="700">
        <f>+U226+V226+W226+X226</f>
        <v>4728803469</v>
      </c>
      <c r="Z226" s="2009"/>
      <c r="AA226" s="700">
        <f>Y226</f>
        <v>4728803469</v>
      </c>
      <c r="AB226" s="1979"/>
      <c r="AC226" s="695">
        <f t="shared" ref="AC226:AC227" si="101">+AA226/Y226</f>
        <v>1</v>
      </c>
      <c r="AD226" s="701"/>
      <c r="AE226" s="1979"/>
      <c r="AF226" s="695">
        <f t="shared" ref="AF226:AF227" si="102">+AD226/Y226</f>
        <v>0</v>
      </c>
      <c r="AG226" s="701"/>
      <c r="AH226" s="2009"/>
      <c r="AI226" s="695">
        <f t="shared" ref="AI226:AI227" si="103">+AG226/Y226</f>
        <v>0</v>
      </c>
      <c r="AJ226" s="701"/>
      <c r="AK226" s="2009"/>
      <c r="AL226" s="695">
        <f t="shared" ref="AL226:AL227" si="104">+AJ226/Y226</f>
        <v>0</v>
      </c>
      <c r="AM226" s="701"/>
      <c r="AN226" s="2009"/>
      <c r="AO226" s="343">
        <f t="shared" ref="AO226:AO227" si="105">+AM226/Y226</f>
        <v>0</v>
      </c>
      <c r="AP226" s="1005">
        <f t="shared" ref="AP226:AP229" si="106">+AA226+AD226+AG226+AJ226+AM226</f>
        <v>4728803469</v>
      </c>
      <c r="AQ226" s="287" t="str">
        <f t="shared" ref="AQ226:AQ229" si="107">+IF(Y226=AP226,"Bien","Error")</f>
        <v>Bien</v>
      </c>
      <c r="AR226" s="1152" t="s">
        <v>1193</v>
      </c>
    </row>
    <row r="227" spans="1:136" s="288" customFormat="1" ht="58.5" customHeight="1" x14ac:dyDescent="0.25">
      <c r="A227" s="2048"/>
      <c r="B227" s="1897"/>
      <c r="C227" s="2226"/>
      <c r="D227" s="2226"/>
      <c r="E227" s="2061" t="s">
        <v>918</v>
      </c>
      <c r="F227" s="1906" t="s">
        <v>919</v>
      </c>
      <c r="G227" s="2063" t="s">
        <v>920</v>
      </c>
      <c r="H227" s="2064" t="s">
        <v>107</v>
      </c>
      <c r="I227" s="2065">
        <v>1</v>
      </c>
      <c r="J227" s="2067" t="s">
        <v>342</v>
      </c>
      <c r="K227" s="702" t="s">
        <v>921</v>
      </c>
      <c r="L227" s="702" t="s">
        <v>347</v>
      </c>
      <c r="M227" s="703">
        <v>0.3</v>
      </c>
      <c r="N227" s="703">
        <v>1</v>
      </c>
      <c r="O227" s="704">
        <v>0</v>
      </c>
      <c r="P227" s="704">
        <v>0</v>
      </c>
      <c r="Q227" s="704">
        <v>1</v>
      </c>
      <c r="R227" s="704">
        <v>0</v>
      </c>
      <c r="S227" s="705"/>
      <c r="T227" s="704">
        <f t="shared" si="100"/>
        <v>1</v>
      </c>
      <c r="U227" s="706">
        <v>0</v>
      </c>
      <c r="V227" s="706">
        <v>0</v>
      </c>
      <c r="W227" s="706">
        <v>35500000</v>
      </c>
      <c r="X227" s="706">
        <v>0</v>
      </c>
      <c r="Y227" s="706">
        <f t="shared" ref="Y227:Y239" si="108">U227+V227+W227+X227</f>
        <v>35500000</v>
      </c>
      <c r="Z227" s="2069">
        <f>+SUM(Y227:Y229)</f>
        <v>838752438</v>
      </c>
      <c r="AA227" s="706"/>
      <c r="AB227" s="2071">
        <f>+SUM(AA227:AA229)</f>
        <v>397444565</v>
      </c>
      <c r="AC227" s="707">
        <f t="shared" si="101"/>
        <v>0</v>
      </c>
      <c r="AD227" s="706">
        <f>25500000</f>
        <v>25500000</v>
      </c>
      <c r="AE227" s="2071">
        <f>+SUM(AD227:AD229)</f>
        <v>421307873</v>
      </c>
      <c r="AF227" s="707">
        <f t="shared" si="102"/>
        <v>0.71830985915492962</v>
      </c>
      <c r="AG227" s="708"/>
      <c r="AH227" s="2069">
        <f>+SUM(AG227:AG229)</f>
        <v>0</v>
      </c>
      <c r="AI227" s="707">
        <f t="shared" si="103"/>
        <v>0</v>
      </c>
      <c r="AJ227" s="708"/>
      <c r="AK227" s="2069">
        <f>+SUM(AJ227:AJ229)</f>
        <v>0</v>
      </c>
      <c r="AL227" s="707">
        <f t="shared" si="104"/>
        <v>0</v>
      </c>
      <c r="AM227" s="706">
        <v>10000000</v>
      </c>
      <c r="AN227" s="2069">
        <f>+SUM(AM227:AM229)</f>
        <v>20000000</v>
      </c>
      <c r="AO227" s="344">
        <f t="shared" si="105"/>
        <v>0.28169014084507044</v>
      </c>
      <c r="AP227" s="1005">
        <f t="shared" si="106"/>
        <v>35500000</v>
      </c>
      <c r="AQ227" s="287" t="str">
        <f t="shared" si="107"/>
        <v>Bien</v>
      </c>
      <c r="AR227" s="1152" t="s">
        <v>1219</v>
      </c>
    </row>
    <row r="228" spans="1:136" s="288" customFormat="1" ht="46.5" customHeight="1" x14ac:dyDescent="0.25">
      <c r="A228" s="2048"/>
      <c r="B228" s="1897"/>
      <c r="C228" s="2226"/>
      <c r="D228" s="2226"/>
      <c r="E228" s="2062"/>
      <c r="F228" s="1902"/>
      <c r="G228" s="2007"/>
      <c r="H228" s="2007"/>
      <c r="I228" s="2066"/>
      <c r="J228" s="2068"/>
      <c r="K228" s="709" t="s">
        <v>922</v>
      </c>
      <c r="L228" s="702" t="s">
        <v>39</v>
      </c>
      <c r="M228" s="707">
        <v>0.2</v>
      </c>
      <c r="N228" s="707">
        <v>1</v>
      </c>
      <c r="O228" s="704">
        <v>0.25</v>
      </c>
      <c r="P228" s="704">
        <v>0.25</v>
      </c>
      <c r="Q228" s="704">
        <v>0.25</v>
      </c>
      <c r="R228" s="704">
        <v>1</v>
      </c>
      <c r="S228" s="705"/>
      <c r="T228" s="704"/>
      <c r="U228" s="710">
        <v>157803976</v>
      </c>
      <c r="V228" s="706">
        <v>162653976</v>
      </c>
      <c r="W228" s="710">
        <v>147142848</v>
      </c>
      <c r="X228" s="710">
        <v>177460736</v>
      </c>
      <c r="Y228" s="706">
        <f t="shared" si="108"/>
        <v>645061536</v>
      </c>
      <c r="Z228" s="2070"/>
      <c r="AA228" s="711">
        <v>397444565</v>
      </c>
      <c r="AB228" s="2072"/>
      <c r="AC228" s="712"/>
      <c r="AD228" s="713">
        <v>237616971</v>
      </c>
      <c r="AE228" s="2072"/>
      <c r="AF228" s="712"/>
      <c r="AG228" s="712"/>
      <c r="AH228" s="2070"/>
      <c r="AI228" s="712"/>
      <c r="AJ228" s="712"/>
      <c r="AK228" s="2070"/>
      <c r="AL228" s="712"/>
      <c r="AM228" s="857">
        <v>10000000</v>
      </c>
      <c r="AN228" s="2070"/>
      <c r="AO228" s="318"/>
      <c r="AP228" s="1005">
        <f t="shared" si="106"/>
        <v>645061536</v>
      </c>
      <c r="AQ228" s="287" t="str">
        <f t="shared" si="107"/>
        <v>Bien</v>
      </c>
      <c r="AR228" s="1152" t="s">
        <v>1219</v>
      </c>
    </row>
    <row r="229" spans="1:136" s="347" customFormat="1" ht="29.25" customHeight="1" x14ac:dyDescent="0.25">
      <c r="A229" s="2048"/>
      <c r="B229" s="1897"/>
      <c r="C229" s="2226"/>
      <c r="D229" s="2226"/>
      <c r="E229" s="2062"/>
      <c r="F229" s="1902"/>
      <c r="G229" s="2007"/>
      <c r="H229" s="2007"/>
      <c r="I229" s="2066"/>
      <c r="J229" s="2068"/>
      <c r="K229" s="714" t="s">
        <v>923</v>
      </c>
      <c r="L229" s="702" t="s">
        <v>924</v>
      </c>
      <c r="M229" s="715">
        <v>2</v>
      </c>
      <c r="N229" s="715">
        <v>4</v>
      </c>
      <c r="O229" s="716">
        <v>1</v>
      </c>
      <c r="P229" s="716">
        <v>1</v>
      </c>
      <c r="Q229" s="716">
        <v>1</v>
      </c>
      <c r="R229" s="716">
        <v>1</v>
      </c>
      <c r="S229" s="705"/>
      <c r="T229" s="704"/>
      <c r="U229" s="710">
        <v>37900000</v>
      </c>
      <c r="V229" s="710">
        <v>38921119</v>
      </c>
      <c r="W229" s="710">
        <v>39979500</v>
      </c>
      <c r="X229" s="710">
        <v>41390283</v>
      </c>
      <c r="Y229" s="706">
        <f t="shared" si="108"/>
        <v>158190902</v>
      </c>
      <c r="Z229" s="2070"/>
      <c r="AA229" s="717"/>
      <c r="AB229" s="2072"/>
      <c r="AC229" s="712"/>
      <c r="AD229" s="718">
        <v>158190902</v>
      </c>
      <c r="AE229" s="2072"/>
      <c r="AF229" s="712"/>
      <c r="AG229" s="712"/>
      <c r="AH229" s="2070"/>
      <c r="AI229" s="712"/>
      <c r="AJ229" s="712"/>
      <c r="AK229" s="2070"/>
      <c r="AL229" s="712"/>
      <c r="AM229" s="712"/>
      <c r="AN229" s="2070"/>
      <c r="AO229" s="345"/>
      <c r="AP229" s="1005">
        <f t="shared" si="106"/>
        <v>158190902</v>
      </c>
      <c r="AQ229" s="287" t="str">
        <f t="shared" si="107"/>
        <v>Bien</v>
      </c>
      <c r="AR229" s="1152" t="s">
        <v>1193</v>
      </c>
    </row>
    <row r="230" spans="1:136" s="288" customFormat="1" ht="25.5" x14ac:dyDescent="0.25">
      <c r="A230" s="2048"/>
      <c r="B230" s="1897"/>
      <c r="C230" s="2226">
        <v>1202</v>
      </c>
      <c r="D230" s="2226" t="s">
        <v>1097</v>
      </c>
      <c r="E230" s="2073" t="s">
        <v>343</v>
      </c>
      <c r="F230" s="2076" t="s">
        <v>925</v>
      </c>
      <c r="G230" s="2008" t="s">
        <v>926</v>
      </c>
      <c r="H230" s="2064" t="s">
        <v>107</v>
      </c>
      <c r="I230" s="2139">
        <v>1</v>
      </c>
      <c r="J230" s="2141" t="s">
        <v>344</v>
      </c>
      <c r="K230" s="719" t="s">
        <v>345</v>
      </c>
      <c r="L230" s="720" t="s">
        <v>650</v>
      </c>
      <c r="M230" s="721">
        <v>8</v>
      </c>
      <c r="N230" s="722">
        <v>8</v>
      </c>
      <c r="O230" s="723">
        <v>8</v>
      </c>
      <c r="P230" s="724">
        <v>8</v>
      </c>
      <c r="Q230" s="724">
        <v>8</v>
      </c>
      <c r="R230" s="724">
        <v>8</v>
      </c>
      <c r="S230" s="725"/>
      <c r="T230" s="726">
        <f t="shared" si="100"/>
        <v>32</v>
      </c>
      <c r="U230" s="727">
        <v>118438712</v>
      </c>
      <c r="V230" s="727">
        <v>119195293</v>
      </c>
      <c r="W230" s="727">
        <v>119974571</v>
      </c>
      <c r="X230" s="727">
        <v>120777227</v>
      </c>
      <c r="Y230" s="710">
        <f t="shared" si="108"/>
        <v>478385803</v>
      </c>
      <c r="Z230" s="2144">
        <f>+SUM(Y230:Y232)</f>
        <v>754888268</v>
      </c>
      <c r="AA230" s="727">
        <v>352000000</v>
      </c>
      <c r="AB230" s="2172">
        <f>+SUM(AA230:AA232)</f>
        <v>543871510</v>
      </c>
      <c r="AC230" s="728"/>
      <c r="AD230" s="727">
        <v>126385803</v>
      </c>
      <c r="AE230" s="2172">
        <f>+SUM(AD230:AD232)</f>
        <v>211016758</v>
      </c>
      <c r="AF230" s="728">
        <f t="shared" ref="AF230" si="109">+AD230/Y230</f>
        <v>0.2641922109883349</v>
      </c>
      <c r="AG230" s="729"/>
      <c r="AH230" s="2144">
        <f>+SUM(AG230:AG232)</f>
        <v>0</v>
      </c>
      <c r="AI230" s="728">
        <f t="shared" ref="AI230" si="110">+AG230/Y230</f>
        <v>0</v>
      </c>
      <c r="AJ230" s="729"/>
      <c r="AK230" s="2144">
        <f>+SUM(AJ230:AJ232)</f>
        <v>0</v>
      </c>
      <c r="AL230" s="728">
        <f t="shared" ref="AL230" si="111">+AJ230/Y230</f>
        <v>0</v>
      </c>
      <c r="AM230" s="729"/>
      <c r="AN230" s="2144">
        <f>+SUM(AM230:AM232)</f>
        <v>0</v>
      </c>
      <c r="AO230" s="343">
        <f t="shared" ref="AO230" si="112">+AM230/Y230</f>
        <v>0</v>
      </c>
      <c r="AP230" s="1005">
        <f t="shared" ref="AP230:AP232" si="113">+AA230+AD230+AG230+AJ230+AM230</f>
        <v>478385803</v>
      </c>
      <c r="AQ230" s="287" t="str">
        <f t="shared" ref="AQ230:AQ232" si="114">+IF(Y230=AP230,"Bien","Error")</f>
        <v>Bien</v>
      </c>
      <c r="AR230" s="1152" t="s">
        <v>1220</v>
      </c>
    </row>
    <row r="231" spans="1:136" s="288" customFormat="1" ht="33.75" customHeight="1" x14ac:dyDescent="0.25">
      <c r="A231" s="2048"/>
      <c r="B231" s="1897"/>
      <c r="C231" s="2226"/>
      <c r="D231" s="2226"/>
      <c r="E231" s="2074"/>
      <c r="F231" s="1902"/>
      <c r="G231" s="2077"/>
      <c r="H231" s="2007"/>
      <c r="I231" s="2120"/>
      <c r="J231" s="2142"/>
      <c r="K231" s="730" t="s">
        <v>651</v>
      </c>
      <c r="L231" s="686" t="s">
        <v>39</v>
      </c>
      <c r="M231" s="1136" t="s">
        <v>107</v>
      </c>
      <c r="N231" s="684">
        <v>1</v>
      </c>
      <c r="O231" s="678">
        <v>0.2</v>
      </c>
      <c r="P231" s="679">
        <v>0.25</v>
      </c>
      <c r="Q231" s="679">
        <v>0.3</v>
      </c>
      <c r="R231" s="679">
        <v>0.25</v>
      </c>
      <c r="S231" s="680"/>
      <c r="T231" s="692">
        <f t="shared" si="100"/>
        <v>1</v>
      </c>
      <c r="U231" s="683">
        <v>30000000</v>
      </c>
      <c r="V231" s="683">
        <v>33696581</v>
      </c>
      <c r="W231" s="683">
        <v>37504059</v>
      </c>
      <c r="X231" s="683">
        <v>41425761</v>
      </c>
      <c r="Y231" s="710">
        <f t="shared" si="108"/>
        <v>142626401</v>
      </c>
      <c r="Z231" s="2007"/>
      <c r="AA231" s="683">
        <v>57995446</v>
      </c>
      <c r="AB231" s="1203"/>
      <c r="AC231" s="684"/>
      <c r="AD231" s="683">
        <v>84630955</v>
      </c>
      <c r="AE231" s="1203"/>
      <c r="AF231" s="684">
        <v>0</v>
      </c>
      <c r="AG231" s="685"/>
      <c r="AH231" s="2007"/>
      <c r="AI231" s="684">
        <v>0</v>
      </c>
      <c r="AJ231" s="685"/>
      <c r="AK231" s="2007"/>
      <c r="AL231" s="684">
        <v>0</v>
      </c>
      <c r="AM231" s="685"/>
      <c r="AN231" s="2007"/>
      <c r="AO231" s="343">
        <v>0</v>
      </c>
      <c r="AP231" s="1005">
        <f t="shared" si="113"/>
        <v>142626401</v>
      </c>
      <c r="AQ231" s="287" t="str">
        <f t="shared" si="114"/>
        <v>Bien</v>
      </c>
      <c r="AR231" s="1152" t="s">
        <v>1221</v>
      </c>
    </row>
    <row r="232" spans="1:136" s="288" customFormat="1" ht="36.75" customHeight="1" x14ac:dyDescent="0.25">
      <c r="A232" s="2048"/>
      <c r="B232" s="1897"/>
      <c r="C232" s="2226"/>
      <c r="D232" s="2226"/>
      <c r="E232" s="2075"/>
      <c r="F232" s="1903"/>
      <c r="G232" s="2078"/>
      <c r="H232" s="1999"/>
      <c r="I232" s="2140"/>
      <c r="J232" s="2143"/>
      <c r="K232" s="730" t="s">
        <v>652</v>
      </c>
      <c r="L232" s="686" t="s">
        <v>39</v>
      </c>
      <c r="M232" s="1136" t="s">
        <v>107</v>
      </c>
      <c r="N232" s="684">
        <v>1</v>
      </c>
      <c r="O232" s="678">
        <v>0.2</v>
      </c>
      <c r="P232" s="679">
        <v>0.25</v>
      </c>
      <c r="Q232" s="679">
        <v>0.3</v>
      </c>
      <c r="R232" s="679">
        <v>0.25</v>
      </c>
      <c r="S232" s="680"/>
      <c r="T232" s="692">
        <f t="shared" si="100"/>
        <v>1</v>
      </c>
      <c r="U232" s="683">
        <v>32000000</v>
      </c>
      <c r="V232" s="683">
        <v>32960000</v>
      </c>
      <c r="W232" s="683">
        <v>33948800</v>
      </c>
      <c r="X232" s="683">
        <v>34967264</v>
      </c>
      <c r="Y232" s="710">
        <f t="shared" si="108"/>
        <v>133876064</v>
      </c>
      <c r="Z232" s="1999"/>
      <c r="AA232" s="683">
        <v>133876064</v>
      </c>
      <c r="AB232" s="1274"/>
      <c r="AC232" s="684"/>
      <c r="AD232" s="683">
        <v>0</v>
      </c>
      <c r="AE232" s="1274"/>
      <c r="AF232" s="684">
        <v>0</v>
      </c>
      <c r="AG232" s="685"/>
      <c r="AH232" s="1999"/>
      <c r="AI232" s="684">
        <v>0</v>
      </c>
      <c r="AJ232" s="685"/>
      <c r="AK232" s="1999"/>
      <c r="AL232" s="684">
        <v>0</v>
      </c>
      <c r="AM232" s="685"/>
      <c r="AN232" s="1999"/>
      <c r="AO232" s="343">
        <v>0</v>
      </c>
      <c r="AP232" s="1005">
        <f t="shared" si="113"/>
        <v>133876064</v>
      </c>
      <c r="AQ232" s="287" t="str">
        <f t="shared" si="114"/>
        <v>Bien</v>
      </c>
      <c r="AR232" s="1152" t="s">
        <v>1193</v>
      </c>
    </row>
    <row r="233" spans="1:136" s="288" customFormat="1" ht="216.75" x14ac:dyDescent="0.25">
      <c r="A233" s="2048"/>
      <c r="B233" s="1897"/>
      <c r="C233" s="2226">
        <v>4502</v>
      </c>
      <c r="D233" s="2226" t="s">
        <v>1093</v>
      </c>
      <c r="E233" s="1904" t="s">
        <v>927</v>
      </c>
      <c r="F233" s="1906" t="s">
        <v>1049</v>
      </c>
      <c r="G233" s="2076" t="s">
        <v>928</v>
      </c>
      <c r="H233" s="2115" t="s">
        <v>107</v>
      </c>
      <c r="I233" s="2116">
        <v>1</v>
      </c>
      <c r="J233" s="2118" t="s">
        <v>346</v>
      </c>
      <c r="K233" s="730" t="s">
        <v>653</v>
      </c>
      <c r="L233" s="686" t="s">
        <v>39</v>
      </c>
      <c r="M233" s="732">
        <v>0.3</v>
      </c>
      <c r="N233" s="733">
        <v>1</v>
      </c>
      <c r="O233" s="687">
        <v>0.25</v>
      </c>
      <c r="P233" s="688">
        <v>0.25</v>
      </c>
      <c r="Q233" s="688">
        <v>0.25</v>
      </c>
      <c r="R233" s="688">
        <v>0.25</v>
      </c>
      <c r="S233" s="680"/>
      <c r="T233" s="734">
        <f t="shared" si="100"/>
        <v>1</v>
      </c>
      <c r="U233" s="735">
        <v>133452730</v>
      </c>
      <c r="V233" s="735">
        <v>136242068</v>
      </c>
      <c r="W233" s="735">
        <f>112929331+7500000</f>
        <v>120429331</v>
      </c>
      <c r="X233" s="735">
        <f>142371935+7500000</f>
        <v>149871935</v>
      </c>
      <c r="Y233" s="683">
        <f t="shared" si="108"/>
        <v>539996064</v>
      </c>
      <c r="Z233" s="2119">
        <f>+SUM(Y233:Y238)</f>
        <v>779028778</v>
      </c>
      <c r="AA233" s="683">
        <v>225704525</v>
      </c>
      <c r="AB233" s="2121">
        <f>+SUM(AA233:AA238)</f>
        <v>313772025</v>
      </c>
      <c r="AC233" s="684"/>
      <c r="AD233" s="683">
        <v>299291539</v>
      </c>
      <c r="AE233" s="2121">
        <f>+SUM(AD233:AD238)</f>
        <v>420256753</v>
      </c>
      <c r="AF233" s="684">
        <f t="shared" ref="AF233:AF259" si="115">+AD233/Y233</f>
        <v>0.55424763059013704</v>
      </c>
      <c r="AG233" s="685"/>
      <c r="AH233" s="2119">
        <f>+SUM(AG233:AG238)</f>
        <v>0</v>
      </c>
      <c r="AI233" s="684">
        <f t="shared" ref="AI233:AI236" si="116">+AG233/Y233</f>
        <v>0</v>
      </c>
      <c r="AJ233" s="685"/>
      <c r="AK233" s="2119">
        <f>+SUM(AJ233:AJ238)</f>
        <v>0</v>
      </c>
      <c r="AL233" s="684">
        <f t="shared" ref="AL233:AL236" si="117">+AJ233/Y233</f>
        <v>0</v>
      </c>
      <c r="AM233" s="685">
        <v>15000000</v>
      </c>
      <c r="AN233" s="2119">
        <f>+SUM(AM233:AM238)</f>
        <v>45000000</v>
      </c>
      <c r="AO233" s="343">
        <f t="shared" ref="AO233:AO236" si="118">+AM233/Y233</f>
        <v>2.7777980248389365E-2</v>
      </c>
      <c r="AP233" s="1005">
        <f t="shared" ref="AP233:AP237" si="119">+AA233+AD233+AG233+AJ233+AM233</f>
        <v>539996064</v>
      </c>
      <c r="AQ233" s="287" t="str">
        <f t="shared" ref="AQ233:AQ237" si="120">+IF(Y233=AP233,"Bien","Error")</f>
        <v>Bien</v>
      </c>
      <c r="AR233" s="1152" t="s">
        <v>1222</v>
      </c>
    </row>
    <row r="234" spans="1:136" s="347" customFormat="1" ht="47.25" customHeight="1" thickBot="1" x14ac:dyDescent="0.3">
      <c r="A234" s="2048"/>
      <c r="B234" s="1897"/>
      <c r="C234" s="2226"/>
      <c r="D234" s="2226"/>
      <c r="E234" s="1900"/>
      <c r="F234" s="1902"/>
      <c r="G234" s="1902"/>
      <c r="H234" s="2007"/>
      <c r="I234" s="2009"/>
      <c r="J234" s="2009"/>
      <c r="K234" s="693" t="s">
        <v>929</v>
      </c>
      <c r="L234" s="686" t="s">
        <v>654</v>
      </c>
      <c r="M234" s="731">
        <v>0</v>
      </c>
      <c r="N234" s="684">
        <v>1</v>
      </c>
      <c r="O234" s="678">
        <v>0</v>
      </c>
      <c r="P234" s="679">
        <v>0</v>
      </c>
      <c r="Q234" s="679">
        <v>1</v>
      </c>
      <c r="R234" s="679">
        <v>0</v>
      </c>
      <c r="S234" s="680"/>
      <c r="T234" s="692">
        <f t="shared" si="100"/>
        <v>1</v>
      </c>
      <c r="U234" s="683">
        <v>0</v>
      </c>
      <c r="V234" s="683">
        <v>0</v>
      </c>
      <c r="W234" s="683">
        <f>26317500+15000000</f>
        <v>41317500</v>
      </c>
      <c r="X234" s="683">
        <v>0</v>
      </c>
      <c r="Y234" s="683">
        <f t="shared" si="108"/>
        <v>41317500</v>
      </c>
      <c r="Z234" s="2007"/>
      <c r="AA234" s="683">
        <v>1317500</v>
      </c>
      <c r="AB234" s="1203"/>
      <c r="AC234" s="684"/>
      <c r="AD234" s="683">
        <v>25000000</v>
      </c>
      <c r="AE234" s="1203"/>
      <c r="AF234" s="684">
        <f t="shared" si="115"/>
        <v>0.60507049071216801</v>
      </c>
      <c r="AG234" s="685"/>
      <c r="AH234" s="2007"/>
      <c r="AI234" s="684">
        <f t="shared" si="116"/>
        <v>0</v>
      </c>
      <c r="AJ234" s="685"/>
      <c r="AK234" s="2007"/>
      <c r="AL234" s="684">
        <f t="shared" si="117"/>
        <v>0</v>
      </c>
      <c r="AM234" s="683">
        <v>15000000</v>
      </c>
      <c r="AN234" s="2007"/>
      <c r="AO234" s="348">
        <f t="shared" si="118"/>
        <v>0.36304229442730079</v>
      </c>
      <c r="AP234" s="1006">
        <f t="shared" si="119"/>
        <v>41317500</v>
      </c>
      <c r="AQ234" s="346" t="str">
        <f t="shared" si="120"/>
        <v>Bien</v>
      </c>
      <c r="AR234" s="1152" t="s">
        <v>1193</v>
      </c>
      <c r="AS234" s="350"/>
      <c r="AT234" s="350"/>
      <c r="AU234" s="350"/>
      <c r="AV234" s="350"/>
      <c r="AW234" s="350"/>
      <c r="AX234" s="350"/>
      <c r="AY234" s="350"/>
      <c r="AZ234" s="350"/>
      <c r="BA234" s="350"/>
      <c r="BB234" s="350"/>
      <c r="BC234" s="350"/>
      <c r="BD234" s="350"/>
      <c r="BE234" s="350"/>
      <c r="BF234" s="350"/>
      <c r="BG234" s="350"/>
      <c r="BH234" s="350"/>
      <c r="BI234" s="350"/>
      <c r="BJ234" s="350"/>
      <c r="BK234" s="350"/>
      <c r="BL234" s="350"/>
      <c r="BM234" s="350"/>
      <c r="BN234" s="350"/>
      <c r="BO234" s="350"/>
      <c r="BP234" s="350"/>
      <c r="BQ234" s="350"/>
      <c r="BR234" s="350"/>
      <c r="BS234" s="350"/>
      <c r="BT234" s="350"/>
      <c r="BU234" s="350"/>
      <c r="BV234" s="350"/>
      <c r="BW234" s="350"/>
      <c r="BX234" s="350"/>
      <c r="BY234" s="350"/>
      <c r="BZ234" s="350"/>
      <c r="CA234" s="350"/>
      <c r="CB234" s="350"/>
      <c r="CC234" s="350"/>
      <c r="CD234" s="350"/>
      <c r="CE234" s="350"/>
      <c r="CF234" s="350"/>
      <c r="CG234" s="350"/>
      <c r="CH234" s="350"/>
      <c r="CI234" s="350"/>
      <c r="CJ234" s="350"/>
      <c r="CK234" s="350"/>
      <c r="CL234" s="350"/>
      <c r="CM234" s="350"/>
      <c r="CN234" s="350"/>
      <c r="CO234" s="350"/>
      <c r="CP234" s="350"/>
      <c r="CQ234" s="350"/>
      <c r="CR234" s="350"/>
      <c r="CS234" s="350"/>
      <c r="CT234" s="350"/>
      <c r="CU234" s="350"/>
      <c r="CV234" s="350"/>
      <c r="CW234" s="350"/>
      <c r="CX234" s="350"/>
      <c r="CY234" s="350"/>
      <c r="CZ234" s="350"/>
      <c r="DA234" s="350"/>
      <c r="DB234" s="350"/>
      <c r="DC234" s="350"/>
      <c r="DD234" s="350"/>
      <c r="DE234" s="350"/>
      <c r="DF234" s="350"/>
      <c r="DG234" s="350"/>
      <c r="DH234" s="350"/>
      <c r="DI234" s="350"/>
      <c r="DJ234" s="350"/>
      <c r="DK234" s="350"/>
      <c r="DL234" s="350"/>
      <c r="DM234" s="350"/>
      <c r="DN234" s="350"/>
      <c r="DO234" s="350"/>
      <c r="DP234" s="350"/>
      <c r="DQ234" s="350"/>
      <c r="DR234" s="350"/>
      <c r="DS234" s="350"/>
      <c r="DT234" s="350"/>
      <c r="DU234" s="350"/>
      <c r="DV234" s="350"/>
      <c r="DW234" s="350"/>
      <c r="DX234" s="350"/>
      <c r="DY234" s="350"/>
      <c r="DZ234" s="350"/>
      <c r="EA234" s="350"/>
      <c r="EB234" s="350"/>
      <c r="EC234" s="350"/>
      <c r="ED234" s="350"/>
      <c r="EE234" s="350"/>
      <c r="EF234" s="350"/>
    </row>
    <row r="235" spans="1:136" s="288" customFormat="1" ht="62.25" customHeight="1" thickBot="1" x14ac:dyDescent="0.3">
      <c r="A235" s="2048"/>
      <c r="B235" s="1897"/>
      <c r="C235" s="2226"/>
      <c r="D235" s="2226"/>
      <c r="E235" s="1900"/>
      <c r="F235" s="1902"/>
      <c r="G235" s="1902"/>
      <c r="H235" s="2007"/>
      <c r="I235" s="2009"/>
      <c r="J235" s="2009"/>
      <c r="K235" s="675" t="s">
        <v>348</v>
      </c>
      <c r="L235" s="730" t="s">
        <v>655</v>
      </c>
      <c r="M235" s="686">
        <v>0</v>
      </c>
      <c r="N235" s="736">
        <v>11</v>
      </c>
      <c r="O235" s="691">
        <v>0</v>
      </c>
      <c r="P235" s="737">
        <v>3</v>
      </c>
      <c r="Q235" s="737">
        <v>4</v>
      </c>
      <c r="R235" s="737">
        <v>4</v>
      </c>
      <c r="S235" s="680"/>
      <c r="T235" s="734">
        <f t="shared" si="100"/>
        <v>11</v>
      </c>
      <c r="U235" s="683">
        <f>4500000</f>
        <v>4500000</v>
      </c>
      <c r="V235" s="683">
        <f>5000000</f>
        <v>5000000</v>
      </c>
      <c r="W235" s="683">
        <f>7400000</f>
        <v>7400000</v>
      </c>
      <c r="X235" s="683">
        <f>9100000</f>
        <v>9100000</v>
      </c>
      <c r="Y235" s="683">
        <f t="shared" si="108"/>
        <v>26000000</v>
      </c>
      <c r="Z235" s="2007"/>
      <c r="AA235" s="683">
        <v>4000000</v>
      </c>
      <c r="AB235" s="1203"/>
      <c r="AC235" s="684"/>
      <c r="AD235" s="683">
        <v>22000000</v>
      </c>
      <c r="AE235" s="1203"/>
      <c r="AF235" s="684">
        <f t="shared" si="115"/>
        <v>0.84615384615384615</v>
      </c>
      <c r="AG235" s="685"/>
      <c r="AH235" s="2007"/>
      <c r="AI235" s="684">
        <f t="shared" si="116"/>
        <v>0</v>
      </c>
      <c r="AJ235" s="685"/>
      <c r="AK235" s="2007"/>
      <c r="AL235" s="684">
        <f t="shared" si="117"/>
        <v>0</v>
      </c>
      <c r="AM235" s="683"/>
      <c r="AN235" s="2007"/>
      <c r="AO235" s="343">
        <f t="shared" si="118"/>
        <v>0</v>
      </c>
      <c r="AP235" s="1005">
        <f t="shared" si="119"/>
        <v>26000000</v>
      </c>
      <c r="AQ235" s="287" t="str">
        <f t="shared" si="120"/>
        <v>Bien</v>
      </c>
      <c r="AR235" s="1152" t="s">
        <v>1222</v>
      </c>
      <c r="AS235" s="351"/>
      <c r="AT235" s="350"/>
      <c r="AU235" s="350"/>
      <c r="AV235" s="350"/>
      <c r="AW235" s="350"/>
      <c r="AX235" s="350"/>
      <c r="AY235" s="350"/>
      <c r="AZ235" s="350"/>
      <c r="BA235" s="350"/>
      <c r="BB235" s="350"/>
      <c r="BC235" s="350"/>
      <c r="BD235" s="350"/>
      <c r="BE235" s="350"/>
      <c r="BF235" s="350"/>
      <c r="BG235" s="350"/>
      <c r="BH235" s="350"/>
      <c r="BI235" s="350"/>
      <c r="BJ235" s="350"/>
      <c r="BK235" s="350"/>
      <c r="BL235" s="350"/>
      <c r="BM235" s="350"/>
      <c r="BN235" s="350"/>
      <c r="BO235" s="350"/>
      <c r="BP235" s="350"/>
      <c r="BQ235" s="350"/>
      <c r="BR235" s="350"/>
      <c r="BS235" s="350"/>
      <c r="BT235" s="350"/>
      <c r="BU235" s="350"/>
      <c r="BV235" s="350"/>
      <c r="BW235" s="350"/>
      <c r="BX235" s="350"/>
      <c r="BY235" s="350"/>
      <c r="BZ235" s="350"/>
      <c r="CA235" s="350"/>
      <c r="CB235" s="350"/>
      <c r="CC235" s="350"/>
      <c r="CD235" s="350"/>
      <c r="CE235" s="350"/>
      <c r="CF235" s="350"/>
      <c r="CG235" s="350"/>
      <c r="CH235" s="350"/>
      <c r="CI235" s="350"/>
      <c r="CJ235" s="350"/>
      <c r="CK235" s="350"/>
      <c r="CL235" s="350"/>
      <c r="CM235" s="350"/>
      <c r="CN235" s="350"/>
      <c r="CO235" s="350"/>
      <c r="CP235" s="350"/>
      <c r="CQ235" s="350"/>
      <c r="CR235" s="350"/>
      <c r="CS235" s="350"/>
      <c r="CT235" s="350"/>
      <c r="CU235" s="350"/>
      <c r="CV235" s="350"/>
      <c r="CW235" s="350"/>
      <c r="CX235" s="350"/>
      <c r="CY235" s="350"/>
      <c r="CZ235" s="350"/>
      <c r="DA235" s="350"/>
      <c r="DB235" s="350"/>
      <c r="DC235" s="350"/>
      <c r="DD235" s="350"/>
      <c r="DE235" s="350"/>
      <c r="DF235" s="350"/>
      <c r="DG235" s="350"/>
      <c r="DH235" s="350"/>
      <c r="DI235" s="350"/>
      <c r="DJ235" s="350"/>
      <c r="DK235" s="350"/>
      <c r="DL235" s="350"/>
      <c r="DM235" s="350"/>
      <c r="DN235" s="350"/>
      <c r="DO235" s="350"/>
      <c r="DP235" s="350"/>
      <c r="DQ235" s="350"/>
      <c r="DR235" s="350"/>
      <c r="DS235" s="350"/>
      <c r="DT235" s="350"/>
      <c r="DU235" s="350"/>
      <c r="DV235" s="350"/>
      <c r="DW235" s="350"/>
      <c r="DX235" s="350"/>
      <c r="DY235" s="350"/>
      <c r="DZ235" s="350"/>
      <c r="EA235" s="350"/>
      <c r="EB235" s="350"/>
      <c r="EC235" s="350"/>
      <c r="ED235" s="350"/>
      <c r="EE235" s="350"/>
      <c r="EF235" s="350"/>
    </row>
    <row r="236" spans="1:136" s="288" customFormat="1" ht="54.75" customHeight="1" thickBot="1" x14ac:dyDescent="0.3">
      <c r="A236" s="2048"/>
      <c r="B236" s="1897"/>
      <c r="C236" s="2226"/>
      <c r="D236" s="2226"/>
      <c r="E236" s="1900"/>
      <c r="F236" s="1903"/>
      <c r="G236" s="1903"/>
      <c r="H236" s="1999"/>
      <c r="I236" s="2117"/>
      <c r="J236" s="2117"/>
      <c r="K236" s="675" t="s">
        <v>349</v>
      </c>
      <c r="L236" s="730" t="s">
        <v>655</v>
      </c>
      <c r="M236" s="686">
        <v>0</v>
      </c>
      <c r="N236" s="736">
        <v>14</v>
      </c>
      <c r="O236" s="691">
        <v>2</v>
      </c>
      <c r="P236" s="737">
        <v>4</v>
      </c>
      <c r="Q236" s="737">
        <v>4</v>
      </c>
      <c r="R236" s="737">
        <v>4</v>
      </c>
      <c r="S236" s="680"/>
      <c r="T236" s="738">
        <f t="shared" si="100"/>
        <v>14</v>
      </c>
      <c r="U236" s="735">
        <v>16000000</v>
      </c>
      <c r="V236" s="735">
        <v>15250000</v>
      </c>
      <c r="W236" s="735">
        <v>15250000</v>
      </c>
      <c r="X236" s="735">
        <v>18250000</v>
      </c>
      <c r="Y236" s="683">
        <f t="shared" si="108"/>
        <v>64750000</v>
      </c>
      <c r="Z236" s="2007"/>
      <c r="AA236" s="683">
        <v>58750000</v>
      </c>
      <c r="AB236" s="1203"/>
      <c r="AC236" s="684"/>
      <c r="AD236" s="683">
        <v>6000000</v>
      </c>
      <c r="AE236" s="1203"/>
      <c r="AF236" s="684">
        <f t="shared" si="115"/>
        <v>9.2664092664092659E-2</v>
      </c>
      <c r="AG236" s="685"/>
      <c r="AH236" s="2007"/>
      <c r="AI236" s="684">
        <f t="shared" si="116"/>
        <v>0</v>
      </c>
      <c r="AJ236" s="685"/>
      <c r="AK236" s="2007"/>
      <c r="AL236" s="684">
        <f t="shared" si="117"/>
        <v>0</v>
      </c>
      <c r="AM236" s="683"/>
      <c r="AN236" s="2007"/>
      <c r="AO236" s="343">
        <f t="shared" si="118"/>
        <v>0</v>
      </c>
      <c r="AP236" s="1005">
        <f t="shared" si="119"/>
        <v>64750000</v>
      </c>
      <c r="AQ236" s="287" t="str">
        <f t="shared" si="120"/>
        <v>Bien</v>
      </c>
      <c r="AR236" s="1152" t="s">
        <v>1223</v>
      </c>
      <c r="AS236" s="351"/>
      <c r="AT236" s="350"/>
      <c r="AU236" s="350"/>
      <c r="AV236" s="350"/>
      <c r="AW236" s="350"/>
      <c r="AX236" s="350"/>
      <c r="AY236" s="350"/>
      <c r="AZ236" s="350"/>
      <c r="BA236" s="350"/>
      <c r="BB236" s="350"/>
      <c r="BC236" s="350"/>
      <c r="BD236" s="350"/>
      <c r="BE236" s="350"/>
      <c r="BF236" s="350"/>
      <c r="BG236" s="350"/>
      <c r="BH236" s="350"/>
      <c r="BI236" s="350"/>
      <c r="BJ236" s="350"/>
      <c r="BK236" s="350"/>
      <c r="BL236" s="350"/>
      <c r="BM236" s="350"/>
      <c r="BN236" s="350"/>
      <c r="BO236" s="350"/>
      <c r="BP236" s="350"/>
      <c r="BQ236" s="350"/>
      <c r="BR236" s="350"/>
      <c r="BS236" s="350"/>
      <c r="BT236" s="350"/>
      <c r="BU236" s="350"/>
      <c r="BV236" s="350"/>
      <c r="BW236" s="350"/>
      <c r="BX236" s="350"/>
      <c r="BY236" s="350"/>
      <c r="BZ236" s="350"/>
      <c r="CA236" s="350"/>
      <c r="CB236" s="350"/>
      <c r="CC236" s="350"/>
      <c r="CD236" s="350"/>
      <c r="CE236" s="350"/>
      <c r="CF236" s="350"/>
      <c r="CG236" s="350"/>
      <c r="CH236" s="350"/>
      <c r="CI236" s="350"/>
      <c r="CJ236" s="350"/>
      <c r="CK236" s="350"/>
      <c r="CL236" s="350"/>
      <c r="CM236" s="350"/>
      <c r="CN236" s="350"/>
      <c r="CO236" s="350"/>
      <c r="CP236" s="350"/>
      <c r="CQ236" s="350"/>
      <c r="CR236" s="350"/>
      <c r="CS236" s="350"/>
      <c r="CT236" s="350"/>
      <c r="CU236" s="350"/>
      <c r="CV236" s="350"/>
      <c r="CW236" s="350"/>
      <c r="CX236" s="350"/>
      <c r="CY236" s="350"/>
      <c r="CZ236" s="350"/>
      <c r="DA236" s="350"/>
      <c r="DB236" s="350"/>
      <c r="DC236" s="350"/>
      <c r="DD236" s="350"/>
      <c r="DE236" s="350"/>
      <c r="DF236" s="350"/>
      <c r="DG236" s="350"/>
      <c r="DH236" s="350"/>
      <c r="DI236" s="350"/>
      <c r="DJ236" s="350"/>
      <c r="DK236" s="350"/>
      <c r="DL236" s="350"/>
      <c r="DM236" s="350"/>
      <c r="DN236" s="350"/>
      <c r="DO236" s="350"/>
      <c r="DP236" s="350"/>
      <c r="DQ236" s="350"/>
      <c r="DR236" s="350"/>
      <c r="DS236" s="350"/>
      <c r="DT236" s="350"/>
      <c r="DU236" s="350"/>
      <c r="DV236" s="350"/>
      <c r="DW236" s="350"/>
      <c r="DX236" s="350"/>
      <c r="DY236" s="350"/>
      <c r="DZ236" s="350"/>
      <c r="EA236" s="350"/>
      <c r="EB236" s="350"/>
      <c r="EC236" s="350"/>
      <c r="ED236" s="350"/>
      <c r="EE236" s="350"/>
      <c r="EF236" s="350"/>
    </row>
    <row r="237" spans="1:136" s="349" customFormat="1" ht="46.5" customHeight="1" x14ac:dyDescent="0.25">
      <c r="A237" s="2048"/>
      <c r="B237" s="1897"/>
      <c r="C237" s="2226">
        <v>4503</v>
      </c>
      <c r="D237" s="2226" t="s">
        <v>1093</v>
      </c>
      <c r="E237" s="1900"/>
      <c r="F237" s="2076" t="s">
        <v>930</v>
      </c>
      <c r="G237" s="2123" t="s">
        <v>931</v>
      </c>
      <c r="H237" s="2125" t="s">
        <v>107</v>
      </c>
      <c r="I237" s="2000">
        <v>1</v>
      </c>
      <c r="J237" s="2126" t="s">
        <v>350</v>
      </c>
      <c r="K237" s="693" t="s">
        <v>932</v>
      </c>
      <c r="L237" s="686" t="s">
        <v>347</v>
      </c>
      <c r="M237" s="731">
        <v>0</v>
      </c>
      <c r="N237" s="684">
        <v>1</v>
      </c>
      <c r="O237" s="678">
        <v>0</v>
      </c>
      <c r="P237" s="679">
        <v>1</v>
      </c>
      <c r="Q237" s="679">
        <v>0</v>
      </c>
      <c r="R237" s="679">
        <v>0</v>
      </c>
      <c r="S237" s="739"/>
      <c r="T237" s="699">
        <f t="shared" si="100"/>
        <v>1</v>
      </c>
      <c r="U237" s="700">
        <v>0</v>
      </c>
      <c r="V237" s="700">
        <v>36224243</v>
      </c>
      <c r="W237" s="700">
        <v>0</v>
      </c>
      <c r="X237" s="700">
        <v>0</v>
      </c>
      <c r="Y237" s="683">
        <f t="shared" si="108"/>
        <v>36224243</v>
      </c>
      <c r="Z237" s="2007"/>
      <c r="AA237" s="700">
        <v>4000000</v>
      </c>
      <c r="AB237" s="1203"/>
      <c r="AC237" s="695"/>
      <c r="AD237" s="700">
        <v>17224243</v>
      </c>
      <c r="AE237" s="1203"/>
      <c r="AF237" s="695">
        <f t="shared" si="115"/>
        <v>0.4754893842778164</v>
      </c>
      <c r="AG237" s="701"/>
      <c r="AH237" s="2007"/>
      <c r="AI237" s="695"/>
      <c r="AJ237" s="701"/>
      <c r="AK237" s="2007"/>
      <c r="AL237" s="695"/>
      <c r="AM237" s="700">
        <v>15000000</v>
      </c>
      <c r="AN237" s="2007"/>
      <c r="AO237" s="344"/>
      <c r="AP237" s="1005">
        <f t="shared" si="119"/>
        <v>36224243</v>
      </c>
      <c r="AQ237" s="287" t="str">
        <f t="shared" si="120"/>
        <v>Bien</v>
      </c>
      <c r="AR237" s="1152" t="s">
        <v>1224</v>
      </c>
      <c r="AS237" s="350"/>
      <c r="AT237" s="350"/>
      <c r="AU237" s="350"/>
      <c r="AV237" s="350"/>
      <c r="AW237" s="350"/>
      <c r="AX237" s="350"/>
      <c r="AY237" s="350"/>
      <c r="AZ237" s="350"/>
      <c r="BA237" s="350"/>
      <c r="BB237" s="350"/>
      <c r="BC237" s="350"/>
      <c r="BD237" s="350"/>
      <c r="BE237" s="350"/>
      <c r="BF237" s="350"/>
      <c r="BG237" s="350"/>
      <c r="BH237" s="350"/>
      <c r="BI237" s="350"/>
      <c r="BJ237" s="350"/>
      <c r="BK237" s="350"/>
      <c r="BL237" s="350"/>
      <c r="BM237" s="350"/>
      <c r="BN237" s="350"/>
      <c r="BO237" s="350"/>
      <c r="BP237" s="350"/>
      <c r="BQ237" s="350"/>
      <c r="BR237" s="350"/>
      <c r="BS237" s="350"/>
      <c r="BT237" s="350"/>
      <c r="BU237" s="350"/>
      <c r="BV237" s="350"/>
      <c r="BW237" s="350"/>
      <c r="BX237" s="350"/>
      <c r="BY237" s="350"/>
      <c r="BZ237" s="350"/>
      <c r="CA237" s="350"/>
      <c r="CB237" s="350"/>
      <c r="CC237" s="350"/>
      <c r="CD237" s="350"/>
      <c r="CE237" s="350"/>
      <c r="CF237" s="350"/>
      <c r="CG237" s="350"/>
      <c r="CH237" s="350"/>
      <c r="CI237" s="350"/>
      <c r="CJ237" s="350"/>
      <c r="CK237" s="350"/>
      <c r="CL237" s="350"/>
      <c r="CM237" s="350"/>
      <c r="CN237" s="350"/>
      <c r="CO237" s="350"/>
      <c r="CP237" s="350"/>
      <c r="CQ237" s="350"/>
      <c r="CR237" s="350"/>
      <c r="CS237" s="350"/>
      <c r="CT237" s="350"/>
      <c r="CU237" s="350"/>
      <c r="CV237" s="350"/>
      <c r="CW237" s="350"/>
      <c r="CX237" s="350"/>
      <c r="CY237" s="350"/>
      <c r="CZ237" s="350"/>
      <c r="DA237" s="350"/>
      <c r="DB237" s="350"/>
      <c r="DC237" s="350"/>
      <c r="DD237" s="350"/>
      <c r="DE237" s="350"/>
      <c r="DF237" s="350"/>
      <c r="DG237" s="350"/>
      <c r="DH237" s="350"/>
      <c r="DI237" s="350"/>
      <c r="DJ237" s="350"/>
      <c r="DK237" s="350"/>
      <c r="DL237" s="350"/>
      <c r="DM237" s="350"/>
      <c r="DN237" s="350"/>
      <c r="DO237" s="350"/>
      <c r="DP237" s="350"/>
      <c r="DQ237" s="350"/>
      <c r="DR237" s="350"/>
      <c r="DS237" s="350"/>
      <c r="DT237" s="350"/>
      <c r="DU237" s="350"/>
      <c r="DV237" s="350"/>
      <c r="DW237" s="350"/>
      <c r="DX237" s="350"/>
      <c r="DY237" s="350"/>
      <c r="DZ237" s="350"/>
      <c r="EA237" s="350"/>
      <c r="EB237" s="350"/>
      <c r="EC237" s="350"/>
      <c r="ED237" s="350"/>
      <c r="EE237" s="350"/>
      <c r="EF237" s="350"/>
    </row>
    <row r="238" spans="1:136" s="288" customFormat="1" ht="72.75" customHeight="1" thickBot="1" x14ac:dyDescent="0.3">
      <c r="A238" s="2048"/>
      <c r="B238" s="1897"/>
      <c r="C238" s="2226"/>
      <c r="D238" s="2226"/>
      <c r="E238" s="1905"/>
      <c r="F238" s="1903"/>
      <c r="G238" s="2124"/>
      <c r="H238" s="1999"/>
      <c r="I238" s="1999"/>
      <c r="J238" s="2009"/>
      <c r="K238" s="693" t="s">
        <v>933</v>
      </c>
      <c r="L238" s="694" t="s">
        <v>39</v>
      </c>
      <c r="M238" s="695">
        <v>0.2</v>
      </c>
      <c r="N238" s="695">
        <v>1</v>
      </c>
      <c r="O238" s="740">
        <v>0.2</v>
      </c>
      <c r="P238" s="741">
        <v>0.35</v>
      </c>
      <c r="Q238" s="741">
        <v>0.35</v>
      </c>
      <c r="R238" s="679">
        <v>0.1</v>
      </c>
      <c r="S238" s="680"/>
      <c r="T238" s="692">
        <f t="shared" si="100"/>
        <v>1</v>
      </c>
      <c r="U238" s="742">
        <v>21500000</v>
      </c>
      <c r="V238" s="742">
        <v>3000000</v>
      </c>
      <c r="W238" s="742">
        <f>10000000+14240971</f>
        <v>24240971</v>
      </c>
      <c r="X238" s="742">
        <f>8000000+14000000</f>
        <v>22000000</v>
      </c>
      <c r="Y238" s="700">
        <f t="shared" si="108"/>
        <v>70740971</v>
      </c>
      <c r="Z238" s="2120"/>
      <c r="AA238" s="700">
        <v>20000000</v>
      </c>
      <c r="AB238" s="2122"/>
      <c r="AC238" s="695"/>
      <c r="AD238" s="700">
        <v>50740971</v>
      </c>
      <c r="AE238" s="2122"/>
      <c r="AF238" s="695">
        <f t="shared" si="115"/>
        <v>0.71727840716237834</v>
      </c>
      <c r="AG238" s="701"/>
      <c r="AH238" s="2120"/>
      <c r="AI238" s="695"/>
      <c r="AJ238" s="701"/>
      <c r="AK238" s="2120"/>
      <c r="AL238" s="684"/>
      <c r="AM238" s="685"/>
      <c r="AN238" s="2120"/>
      <c r="AO238" s="343"/>
      <c r="AP238" s="1005">
        <f t="shared" ref="AP238:AP270" si="121">+AA238+AD238+AG238+AJ238+AM238</f>
        <v>70740971</v>
      </c>
      <c r="AQ238" s="287" t="str">
        <f t="shared" ref="AQ238:AQ270" si="122">+IF(Y238=AP238,"Bien","Error")</f>
        <v>Bien</v>
      </c>
      <c r="AR238" s="1152" t="s">
        <v>1224</v>
      </c>
    </row>
    <row r="239" spans="1:136" s="288" customFormat="1" ht="117.75" customHeight="1" thickBot="1" x14ac:dyDescent="0.3">
      <c r="A239" s="2049"/>
      <c r="B239" s="1898"/>
      <c r="C239" s="1125">
        <v>4599</v>
      </c>
      <c r="D239" s="1126" t="s">
        <v>1098</v>
      </c>
      <c r="E239" s="1120" t="s">
        <v>934</v>
      </c>
      <c r="F239" s="743" t="s">
        <v>935</v>
      </c>
      <c r="G239" s="744" t="s">
        <v>516</v>
      </c>
      <c r="H239" s="745" t="s">
        <v>107</v>
      </c>
      <c r="I239" s="746">
        <v>1</v>
      </c>
      <c r="J239" s="747" t="s">
        <v>936</v>
      </c>
      <c r="K239" s="748" t="s">
        <v>937</v>
      </c>
      <c r="L239" s="749" t="s">
        <v>101</v>
      </c>
      <c r="M239" s="750" t="s">
        <v>107</v>
      </c>
      <c r="N239" s="1137">
        <v>1</v>
      </c>
      <c r="O239" s="751">
        <v>1</v>
      </c>
      <c r="P239" s="752">
        <v>1</v>
      </c>
      <c r="Q239" s="752">
        <v>1</v>
      </c>
      <c r="R239" s="752">
        <v>1</v>
      </c>
      <c r="S239" s="680"/>
      <c r="T239" s="692"/>
      <c r="U239" s="706">
        <v>115000000</v>
      </c>
      <c r="V239" s="706">
        <v>118450000</v>
      </c>
      <c r="W239" s="706">
        <v>127003500</v>
      </c>
      <c r="X239" s="706">
        <v>130663605</v>
      </c>
      <c r="Y239" s="706">
        <f t="shared" si="108"/>
        <v>491117105</v>
      </c>
      <c r="Z239" s="802">
        <f>+Y239</f>
        <v>491117105</v>
      </c>
      <c r="AA239" s="742">
        <v>481117105</v>
      </c>
      <c r="AB239" s="1050">
        <f>+AA239</f>
        <v>481117105</v>
      </c>
      <c r="AC239" s="794"/>
      <c r="AD239" s="742">
        <v>0</v>
      </c>
      <c r="AE239" s="1058">
        <f>+AD239</f>
        <v>0</v>
      </c>
      <c r="AF239" s="794">
        <f t="shared" si="115"/>
        <v>0</v>
      </c>
      <c r="AG239" s="795"/>
      <c r="AH239" s="801">
        <f>+AG239</f>
        <v>0</v>
      </c>
      <c r="AI239" s="794"/>
      <c r="AJ239" s="795"/>
      <c r="AK239" s="801">
        <f>+AJ239</f>
        <v>0</v>
      </c>
      <c r="AL239" s="695"/>
      <c r="AM239" s="701">
        <v>10000000</v>
      </c>
      <c r="AN239" s="801">
        <f>+AM239</f>
        <v>10000000</v>
      </c>
      <c r="AO239" s="343"/>
      <c r="AP239" s="1005">
        <f t="shared" si="121"/>
        <v>491117105</v>
      </c>
      <c r="AQ239" s="287" t="str">
        <f t="shared" si="122"/>
        <v>Bien</v>
      </c>
      <c r="AR239" s="1152" t="s">
        <v>1193</v>
      </c>
    </row>
    <row r="240" spans="1:136" ht="25.5" customHeight="1" x14ac:dyDescent="0.25">
      <c r="A240" s="2173" t="s">
        <v>994</v>
      </c>
      <c r="B240" s="2146" t="s">
        <v>351</v>
      </c>
      <c r="C240" s="1771">
        <v>2403</v>
      </c>
      <c r="D240" s="1771" t="s">
        <v>1099</v>
      </c>
      <c r="E240" s="1676" t="s">
        <v>352</v>
      </c>
      <c r="F240" s="1679" t="s">
        <v>353</v>
      </c>
      <c r="G240" s="1680" t="s">
        <v>354</v>
      </c>
      <c r="H240" s="1648">
        <v>0</v>
      </c>
      <c r="I240" s="1651">
        <v>4</v>
      </c>
      <c r="J240" s="919" t="s">
        <v>871</v>
      </c>
      <c r="K240" s="919" t="s">
        <v>976</v>
      </c>
      <c r="L240" s="920" t="s">
        <v>977</v>
      </c>
      <c r="M240" s="921">
        <v>0.03</v>
      </c>
      <c r="N240" s="921">
        <v>1</v>
      </c>
      <c r="O240" s="922"/>
      <c r="P240" s="922">
        <v>0.22</v>
      </c>
      <c r="Q240" s="923">
        <v>0.43</v>
      </c>
      <c r="R240" s="924">
        <v>0.36</v>
      </c>
      <c r="S240" s="925"/>
      <c r="T240" s="512"/>
      <c r="U240" s="926"/>
      <c r="V240" s="926">
        <v>15135000000</v>
      </c>
      <c r="W240" s="926">
        <v>30000000000</v>
      </c>
      <c r="X240" s="926">
        <v>25000000000</v>
      </c>
      <c r="Y240" s="926">
        <f>+U240+V240+W240+X240</f>
        <v>70135000000</v>
      </c>
      <c r="Z240" s="1654">
        <f>+SUM(Y240:Y242)</f>
        <v>79175000000</v>
      </c>
      <c r="AA240" s="927">
        <f>U240+V240</f>
        <v>15135000000</v>
      </c>
      <c r="AB240" s="1657">
        <f>+SUM(AA240:AA242)</f>
        <v>23135000000</v>
      </c>
      <c r="AC240" s="125">
        <f t="shared" ref="AC240:AC270" si="123">+AA240/Y240</f>
        <v>0.21579810365723248</v>
      </c>
      <c r="AD240" s="126"/>
      <c r="AE240" s="1657">
        <f>+SUM(AD240:AD242)</f>
        <v>0</v>
      </c>
      <c r="AF240" s="125">
        <f t="shared" si="115"/>
        <v>0</v>
      </c>
      <c r="AG240" s="126"/>
      <c r="AH240" s="1654">
        <f>+SUM(AG240:AG242)</f>
        <v>0</v>
      </c>
      <c r="AI240" s="125">
        <f t="shared" ref="AI240:AI259" si="124">+AG240/Y240</f>
        <v>0</v>
      </c>
      <c r="AJ240" s="126"/>
      <c r="AK240" s="1654">
        <f>+SUM(AJ240:AJ242)</f>
        <v>0</v>
      </c>
      <c r="AL240" s="125">
        <f t="shared" ref="AL240:AL259" si="125">+AJ240/Y240</f>
        <v>0</v>
      </c>
      <c r="AM240" s="126">
        <v>55000000000</v>
      </c>
      <c r="AN240" s="2177">
        <f>+SUM(AM240:AM242)</f>
        <v>56040000000</v>
      </c>
      <c r="AO240" s="2147"/>
      <c r="AP240" s="1005">
        <f t="shared" si="121"/>
        <v>70135000000</v>
      </c>
      <c r="AQ240" s="287" t="str">
        <f t="shared" si="122"/>
        <v>Bien</v>
      </c>
      <c r="AR240" s="1150" t="s">
        <v>1225</v>
      </c>
      <c r="AS240" s="18"/>
    </row>
    <row r="241" spans="1:45" ht="51" x14ac:dyDescent="0.25">
      <c r="A241" s="2174"/>
      <c r="B241" s="1642"/>
      <c r="C241" s="1771"/>
      <c r="D241" s="1771"/>
      <c r="E241" s="1677"/>
      <c r="F241" s="1671"/>
      <c r="G241" s="1681"/>
      <c r="H241" s="1649"/>
      <c r="I241" s="1652"/>
      <c r="J241" s="919" t="s">
        <v>355</v>
      </c>
      <c r="K241" s="919" t="s">
        <v>356</v>
      </c>
      <c r="L241" s="920" t="s">
        <v>203</v>
      </c>
      <c r="M241" s="928">
        <v>0</v>
      </c>
      <c r="N241" s="921">
        <v>1</v>
      </c>
      <c r="O241" s="922">
        <v>0.1</v>
      </c>
      <c r="P241" s="922">
        <v>0.9</v>
      </c>
      <c r="Q241" s="929"/>
      <c r="R241" s="925"/>
      <c r="S241" s="925"/>
      <c r="T241" s="512"/>
      <c r="U241" s="926">
        <v>800000000</v>
      </c>
      <c r="V241" s="926">
        <v>7200000000</v>
      </c>
      <c r="W241" s="926"/>
      <c r="X241" s="926"/>
      <c r="Y241" s="926">
        <f t="shared" ref="Y241:Y269" si="126">+U241+V241+W241+X241</f>
        <v>8000000000</v>
      </c>
      <c r="Z241" s="1655"/>
      <c r="AA241" s="927">
        <f>+Y241</f>
        <v>8000000000</v>
      </c>
      <c r="AB241" s="1658"/>
      <c r="AC241" s="125">
        <f t="shared" si="123"/>
        <v>1</v>
      </c>
      <c r="AD241" s="126"/>
      <c r="AE241" s="1658"/>
      <c r="AF241" s="125">
        <f t="shared" si="115"/>
        <v>0</v>
      </c>
      <c r="AG241" s="126"/>
      <c r="AH241" s="1655"/>
      <c r="AI241" s="125">
        <f t="shared" si="124"/>
        <v>0</v>
      </c>
      <c r="AJ241" s="126"/>
      <c r="AK241" s="1655"/>
      <c r="AL241" s="125">
        <f t="shared" si="125"/>
        <v>0</v>
      </c>
      <c r="AM241" s="126"/>
      <c r="AN241" s="2178"/>
      <c r="AO241" s="1661"/>
      <c r="AP241" s="1005">
        <f t="shared" si="121"/>
        <v>8000000000</v>
      </c>
      <c r="AQ241" s="287" t="str">
        <f t="shared" si="122"/>
        <v>Bien</v>
      </c>
      <c r="AR241" s="1150" t="s">
        <v>1225</v>
      </c>
      <c r="AS241" s="18"/>
    </row>
    <row r="242" spans="1:45" ht="51" x14ac:dyDescent="0.25">
      <c r="A242" s="2174"/>
      <c r="B242" s="1642"/>
      <c r="C242" s="1771"/>
      <c r="D242" s="1771"/>
      <c r="E242" s="1678"/>
      <c r="F242" s="1672"/>
      <c r="G242" s="1682"/>
      <c r="H242" s="1650"/>
      <c r="I242" s="1653"/>
      <c r="J242" s="919" t="s">
        <v>357</v>
      </c>
      <c r="K242" s="919" t="s">
        <v>569</v>
      </c>
      <c r="L242" s="920" t="s">
        <v>39</v>
      </c>
      <c r="M242" s="928">
        <v>0</v>
      </c>
      <c r="N242" s="921">
        <v>1</v>
      </c>
      <c r="O242" s="929"/>
      <c r="P242" s="922">
        <v>0.1</v>
      </c>
      <c r="Q242" s="922">
        <v>0.4</v>
      </c>
      <c r="R242" s="930">
        <v>0.5</v>
      </c>
      <c r="S242" s="930"/>
      <c r="T242" s="512"/>
      <c r="U242" s="926"/>
      <c r="V242" s="926">
        <v>80000000</v>
      </c>
      <c r="W242" s="926">
        <v>480000000</v>
      </c>
      <c r="X242" s="926">
        <v>480000000</v>
      </c>
      <c r="Y242" s="926">
        <f t="shared" si="126"/>
        <v>1040000000</v>
      </c>
      <c r="Z242" s="1656"/>
      <c r="AA242" s="927"/>
      <c r="AB242" s="1659"/>
      <c r="AC242" s="125">
        <f t="shared" si="123"/>
        <v>0</v>
      </c>
      <c r="AD242" s="126"/>
      <c r="AE242" s="1659"/>
      <c r="AF242" s="125">
        <f t="shared" si="115"/>
        <v>0</v>
      </c>
      <c r="AG242" s="126"/>
      <c r="AH242" s="1656"/>
      <c r="AI242" s="125">
        <f t="shared" si="124"/>
        <v>0</v>
      </c>
      <c r="AJ242" s="126"/>
      <c r="AK242" s="1656"/>
      <c r="AL242" s="125">
        <f t="shared" si="125"/>
        <v>0</v>
      </c>
      <c r="AM242" s="126">
        <f>+Y242</f>
        <v>1040000000</v>
      </c>
      <c r="AN242" s="2179"/>
      <c r="AO242" s="1691"/>
      <c r="AP242" s="1005">
        <f t="shared" si="121"/>
        <v>1040000000</v>
      </c>
      <c r="AQ242" s="287" t="str">
        <f t="shared" si="122"/>
        <v>Bien</v>
      </c>
      <c r="AR242" s="1150" t="s">
        <v>1225</v>
      </c>
      <c r="AS242" s="18"/>
    </row>
    <row r="243" spans="1:45" ht="45.75" customHeight="1" x14ac:dyDescent="0.25">
      <c r="A243" s="2174"/>
      <c r="B243" s="1642"/>
      <c r="C243" s="1771"/>
      <c r="D243" s="1771"/>
      <c r="E243" s="1692" t="s">
        <v>358</v>
      </c>
      <c r="F243" s="2148" t="s">
        <v>359</v>
      </c>
      <c r="G243" s="2150" t="s">
        <v>360</v>
      </c>
      <c r="H243" s="2151" t="s">
        <v>107</v>
      </c>
      <c r="I243" s="2152">
        <v>1</v>
      </c>
      <c r="J243" s="919" t="s">
        <v>361</v>
      </c>
      <c r="K243" s="919" t="s">
        <v>978</v>
      </c>
      <c r="L243" s="920" t="s">
        <v>26</v>
      </c>
      <c r="M243" s="928">
        <v>0</v>
      </c>
      <c r="N243" s="921">
        <v>1</v>
      </c>
      <c r="O243" s="922">
        <v>0.2</v>
      </c>
      <c r="P243" s="922">
        <v>0.3</v>
      </c>
      <c r="Q243" s="922">
        <v>0.3</v>
      </c>
      <c r="R243" s="930">
        <v>0.2</v>
      </c>
      <c r="S243" s="930"/>
      <c r="T243" s="512"/>
      <c r="U243" s="926">
        <v>7500000000</v>
      </c>
      <c r="V243" s="926"/>
      <c r="W243" s="926">
        <v>0</v>
      </c>
      <c r="X243" s="926">
        <v>0</v>
      </c>
      <c r="Y243" s="926">
        <f t="shared" si="126"/>
        <v>7500000000</v>
      </c>
      <c r="Z243" s="1686">
        <f>+SUM(Y243:Y244)</f>
        <v>64500000000</v>
      </c>
      <c r="AA243" s="926">
        <f>Y243</f>
        <v>7500000000</v>
      </c>
      <c r="AB243" s="1690">
        <f>+SUM(AA243:AA244)</f>
        <v>64500000000</v>
      </c>
      <c r="AC243" s="125">
        <f t="shared" si="123"/>
        <v>1</v>
      </c>
      <c r="AD243" s="126"/>
      <c r="AE243" s="1690">
        <f>+SUM(AD243:AD244)</f>
        <v>0</v>
      </c>
      <c r="AF243" s="125">
        <f t="shared" si="115"/>
        <v>0</v>
      </c>
      <c r="AG243" s="126"/>
      <c r="AH243" s="1686">
        <f>+SUM(AG243:AG244)</f>
        <v>0</v>
      </c>
      <c r="AI243" s="125">
        <f t="shared" si="124"/>
        <v>0</v>
      </c>
      <c r="AJ243" s="126"/>
      <c r="AK243" s="1686">
        <f>+SUM(AJ243:AJ244)</f>
        <v>0</v>
      </c>
      <c r="AL243" s="125">
        <f t="shared" si="125"/>
        <v>0</v>
      </c>
      <c r="AM243" s="126"/>
      <c r="AN243" s="2180">
        <f>+SUM(AM243:AM244)</f>
        <v>0</v>
      </c>
      <c r="AO243" s="1660"/>
      <c r="AP243" s="1005">
        <f t="shared" si="121"/>
        <v>7500000000</v>
      </c>
      <c r="AQ243" s="287" t="str">
        <f t="shared" si="122"/>
        <v>Bien</v>
      </c>
      <c r="AR243" s="1150" t="s">
        <v>1203</v>
      </c>
      <c r="AS243" s="18"/>
    </row>
    <row r="244" spans="1:45" ht="63.75" x14ac:dyDescent="0.25">
      <c r="A244" s="2174"/>
      <c r="B244" s="1642"/>
      <c r="C244" s="1771"/>
      <c r="D244" s="1771"/>
      <c r="E244" s="1678"/>
      <c r="F244" s="2149"/>
      <c r="G244" s="1682"/>
      <c r="H244" s="1650"/>
      <c r="I244" s="2153"/>
      <c r="J244" s="919" t="s">
        <v>362</v>
      </c>
      <c r="K244" s="919" t="s">
        <v>979</v>
      </c>
      <c r="L244" s="920" t="s">
        <v>39</v>
      </c>
      <c r="M244" s="928">
        <v>0</v>
      </c>
      <c r="N244" s="921">
        <v>1</v>
      </c>
      <c r="O244" s="922"/>
      <c r="P244" s="922">
        <v>0.35</v>
      </c>
      <c r="Q244" s="922">
        <v>0.45</v>
      </c>
      <c r="R244" s="930">
        <v>0.2</v>
      </c>
      <c r="S244" s="930"/>
      <c r="T244" s="512"/>
      <c r="U244" s="926"/>
      <c r="V244" s="926">
        <f>11400000000+8550000000</f>
        <v>19950000000</v>
      </c>
      <c r="W244" s="926">
        <f>17100000000+8550000000</f>
        <v>25650000000</v>
      </c>
      <c r="X244" s="926">
        <v>11400000000</v>
      </c>
      <c r="Y244" s="926">
        <f t="shared" si="126"/>
        <v>57000000000</v>
      </c>
      <c r="Z244" s="1656"/>
      <c r="AA244" s="926">
        <v>57000000000</v>
      </c>
      <c r="AB244" s="1659"/>
      <c r="AC244" s="125">
        <f t="shared" si="123"/>
        <v>1</v>
      </c>
      <c r="AD244" s="126"/>
      <c r="AE244" s="1659"/>
      <c r="AF244" s="125">
        <f t="shared" si="115"/>
        <v>0</v>
      </c>
      <c r="AG244" s="126"/>
      <c r="AH244" s="1656"/>
      <c r="AI244" s="125">
        <f t="shared" si="124"/>
        <v>0</v>
      </c>
      <c r="AJ244" s="126"/>
      <c r="AK244" s="1656"/>
      <c r="AL244" s="125">
        <f t="shared" si="125"/>
        <v>0</v>
      </c>
      <c r="AM244" s="126"/>
      <c r="AN244" s="2181"/>
      <c r="AO244" s="1691"/>
      <c r="AP244" s="1005">
        <f t="shared" si="121"/>
        <v>57000000000</v>
      </c>
      <c r="AQ244" s="287" t="str">
        <f t="shared" si="122"/>
        <v>Bien</v>
      </c>
      <c r="AR244" s="1150" t="s">
        <v>1226</v>
      </c>
      <c r="AS244" s="18"/>
    </row>
    <row r="245" spans="1:45" ht="15" customHeight="1" x14ac:dyDescent="0.25">
      <c r="A245" s="2174"/>
      <c r="B245" s="1642"/>
      <c r="C245" s="1771"/>
      <c r="D245" s="1771"/>
      <c r="E245" s="1687" t="s">
        <v>363</v>
      </c>
      <c r="F245" s="1663" t="s">
        <v>364</v>
      </c>
      <c r="G245" s="1663" t="s">
        <v>1152</v>
      </c>
      <c r="H245" s="1663">
        <v>0</v>
      </c>
      <c r="I245" s="2216">
        <v>40</v>
      </c>
      <c r="J245" s="1683" t="s">
        <v>1033</v>
      </c>
      <c r="K245" s="919" t="s">
        <v>365</v>
      </c>
      <c r="L245" s="920" t="s">
        <v>313</v>
      </c>
      <c r="M245" s="928">
        <v>0</v>
      </c>
      <c r="N245" s="931">
        <v>12000</v>
      </c>
      <c r="O245" s="932">
        <v>2000</v>
      </c>
      <c r="P245" s="932">
        <v>4000</v>
      </c>
      <c r="Q245" s="932">
        <v>4000</v>
      </c>
      <c r="R245" s="933">
        <v>2000</v>
      </c>
      <c r="S245" s="933"/>
      <c r="T245" s="512"/>
      <c r="U245" s="926">
        <v>400000000</v>
      </c>
      <c r="V245" s="926">
        <v>800000000</v>
      </c>
      <c r="W245" s="926">
        <v>800000000</v>
      </c>
      <c r="X245" s="926">
        <v>400000000</v>
      </c>
      <c r="Y245" s="926">
        <f t="shared" si="126"/>
        <v>2400000000</v>
      </c>
      <c r="Z245" s="1686">
        <f>+SUM(Y245:Y249)</f>
        <v>100733333333.33334</v>
      </c>
      <c r="AA245" s="927">
        <f>+Y245</f>
        <v>2400000000</v>
      </c>
      <c r="AB245" s="1690">
        <f>+SUM(AA245:AA249)</f>
        <v>100733333333.33334</v>
      </c>
      <c r="AC245" s="125"/>
      <c r="AD245" s="126"/>
      <c r="AE245" s="1690">
        <f>+SUM(AD245:AD248)</f>
        <v>0</v>
      </c>
      <c r="AF245" s="125">
        <f t="shared" si="115"/>
        <v>0</v>
      </c>
      <c r="AG245" s="126"/>
      <c r="AH245" s="1686">
        <f>+SUM(AG245:AG248)</f>
        <v>0</v>
      </c>
      <c r="AI245" s="125">
        <f t="shared" si="124"/>
        <v>0</v>
      </c>
      <c r="AJ245" s="126"/>
      <c r="AK245" s="1686">
        <f>+SUM(AJ245:AJ248)</f>
        <v>0</v>
      </c>
      <c r="AL245" s="125">
        <f t="shared" si="125"/>
        <v>0</v>
      </c>
      <c r="AM245" s="126"/>
      <c r="AN245" s="2180">
        <f>+SUM(AM245:AM248)</f>
        <v>0</v>
      </c>
      <c r="AO245" s="1660"/>
      <c r="AP245" s="1005">
        <f t="shared" si="121"/>
        <v>2400000000</v>
      </c>
      <c r="AQ245" s="287" t="str">
        <f t="shared" si="122"/>
        <v>Bien</v>
      </c>
      <c r="AR245" s="1150" t="s">
        <v>1203</v>
      </c>
      <c r="AS245" s="18"/>
    </row>
    <row r="246" spans="1:45" ht="25.5" x14ac:dyDescent="0.25">
      <c r="A246" s="2174"/>
      <c r="B246" s="1642"/>
      <c r="C246" s="1771"/>
      <c r="D246" s="1771"/>
      <c r="E246" s="1688"/>
      <c r="F246" s="2221"/>
      <c r="G246" s="2221"/>
      <c r="H246" s="2221"/>
      <c r="I246" s="2217"/>
      <c r="J246" s="1684"/>
      <c r="K246" s="919" t="s">
        <v>366</v>
      </c>
      <c r="L246" s="920" t="s">
        <v>193</v>
      </c>
      <c r="M246" s="928">
        <v>0</v>
      </c>
      <c r="N246" s="931">
        <v>12</v>
      </c>
      <c r="O246" s="934">
        <v>2</v>
      </c>
      <c r="P246" s="934">
        <v>5</v>
      </c>
      <c r="Q246" s="934">
        <v>3</v>
      </c>
      <c r="R246" s="935">
        <v>2</v>
      </c>
      <c r="S246" s="935"/>
      <c r="T246" s="512"/>
      <c r="U246" s="926">
        <v>300000000</v>
      </c>
      <c r="V246" s="926">
        <v>550000000</v>
      </c>
      <c r="W246" s="926">
        <v>900000000</v>
      </c>
      <c r="X246" s="926">
        <v>300000000</v>
      </c>
      <c r="Y246" s="926">
        <f t="shared" si="126"/>
        <v>2050000000</v>
      </c>
      <c r="Z246" s="1655"/>
      <c r="AA246" s="927">
        <f>+Y246</f>
        <v>2050000000</v>
      </c>
      <c r="AB246" s="1658"/>
      <c r="AC246" s="125"/>
      <c r="AD246" s="126"/>
      <c r="AE246" s="1658"/>
      <c r="AF246" s="125">
        <f t="shared" si="115"/>
        <v>0</v>
      </c>
      <c r="AG246" s="126"/>
      <c r="AH246" s="1655"/>
      <c r="AI246" s="125">
        <f t="shared" si="124"/>
        <v>0</v>
      </c>
      <c r="AJ246" s="126"/>
      <c r="AK246" s="1655"/>
      <c r="AL246" s="125">
        <f t="shared" si="125"/>
        <v>0</v>
      </c>
      <c r="AM246" s="126"/>
      <c r="AN246" s="2182"/>
      <c r="AO246" s="1661"/>
      <c r="AP246" s="1005">
        <f t="shared" si="121"/>
        <v>2050000000</v>
      </c>
      <c r="AQ246" s="287" t="str">
        <f t="shared" si="122"/>
        <v>Bien</v>
      </c>
      <c r="AR246" s="1150" t="s">
        <v>1203</v>
      </c>
      <c r="AS246" s="18"/>
    </row>
    <row r="247" spans="1:45" ht="25.5" x14ac:dyDescent="0.25">
      <c r="A247" s="2174"/>
      <c r="B247" s="1642"/>
      <c r="C247" s="1771"/>
      <c r="D247" s="1771"/>
      <c r="E247" s="1688"/>
      <c r="F247" s="2221"/>
      <c r="G247" s="2221"/>
      <c r="H247" s="2221"/>
      <c r="I247" s="2217"/>
      <c r="J247" s="1684"/>
      <c r="K247" s="919" t="s">
        <v>367</v>
      </c>
      <c r="L247" s="920" t="s">
        <v>368</v>
      </c>
      <c r="M247" s="928">
        <v>0</v>
      </c>
      <c r="N247" s="928">
        <v>40</v>
      </c>
      <c r="O247" s="929">
        <v>10</v>
      </c>
      <c r="P247" s="929">
        <v>10</v>
      </c>
      <c r="Q247" s="929">
        <v>10</v>
      </c>
      <c r="R247" s="925">
        <v>10</v>
      </c>
      <c r="S247" s="925"/>
      <c r="T247" s="512"/>
      <c r="U247" s="926">
        <v>20000000000</v>
      </c>
      <c r="V247" s="926">
        <v>25500000000</v>
      </c>
      <c r="W247" s="926">
        <v>20000000000</v>
      </c>
      <c r="X247" s="926">
        <v>20000000000</v>
      </c>
      <c r="Y247" s="926">
        <f t="shared" si="126"/>
        <v>85500000000</v>
      </c>
      <c r="Z247" s="1655"/>
      <c r="AA247" s="927">
        <f>+Y247</f>
        <v>85500000000</v>
      </c>
      <c r="AB247" s="1658"/>
      <c r="AC247" s="125"/>
      <c r="AD247" s="126"/>
      <c r="AE247" s="1658"/>
      <c r="AF247" s="125"/>
      <c r="AG247" s="126"/>
      <c r="AH247" s="1655"/>
      <c r="AI247" s="125"/>
      <c r="AJ247" s="126"/>
      <c r="AK247" s="1655"/>
      <c r="AL247" s="125"/>
      <c r="AM247" s="126"/>
      <c r="AN247" s="2182"/>
      <c r="AO247" s="1661"/>
      <c r="AP247" s="1005">
        <f t="shared" si="121"/>
        <v>85500000000</v>
      </c>
      <c r="AQ247" s="287" t="str">
        <f t="shared" si="122"/>
        <v>Bien</v>
      </c>
      <c r="AR247" s="1150" t="s">
        <v>1203</v>
      </c>
      <c r="AS247" s="18"/>
    </row>
    <row r="248" spans="1:45" ht="44.25" customHeight="1" x14ac:dyDescent="0.25">
      <c r="A248" s="2174"/>
      <c r="B248" s="1642"/>
      <c r="C248" s="1771"/>
      <c r="D248" s="1771"/>
      <c r="E248" s="1688"/>
      <c r="F248" s="2221"/>
      <c r="G248" s="2221"/>
      <c r="H248" s="2221"/>
      <c r="I248" s="2217"/>
      <c r="J248" s="1684"/>
      <c r="K248" s="919" t="s">
        <v>980</v>
      </c>
      <c r="L248" s="920" t="s">
        <v>981</v>
      </c>
      <c r="M248" s="928">
        <v>0</v>
      </c>
      <c r="N248" s="928">
        <v>5</v>
      </c>
      <c r="O248" s="929">
        <v>0</v>
      </c>
      <c r="P248" s="929"/>
      <c r="Q248" s="929">
        <v>2</v>
      </c>
      <c r="R248" s="925">
        <v>3</v>
      </c>
      <c r="S248" s="925"/>
      <c r="T248" s="512"/>
      <c r="U248" s="926"/>
      <c r="V248" s="926"/>
      <c r="W248" s="926">
        <f>2066666666.66667*2</f>
        <v>4133333333.3333402</v>
      </c>
      <c r="X248" s="926">
        <f>2066666666.66667*3</f>
        <v>6200000000.0000105</v>
      </c>
      <c r="Y248" s="926">
        <f t="shared" si="126"/>
        <v>10333333333.333351</v>
      </c>
      <c r="Z248" s="1655"/>
      <c r="AA248" s="927">
        <f>Y248</f>
        <v>10333333333.333351</v>
      </c>
      <c r="AB248" s="1658"/>
      <c r="AC248" s="125">
        <f>+AA247/Y247</f>
        <v>1</v>
      </c>
      <c r="AD248" s="126"/>
      <c r="AE248" s="1659"/>
      <c r="AF248" s="125">
        <f>+AD248/Y247</f>
        <v>0</v>
      </c>
      <c r="AG248" s="126"/>
      <c r="AH248" s="1656"/>
      <c r="AI248" s="125">
        <f>+AG248/Y247</f>
        <v>0</v>
      </c>
      <c r="AJ248" s="126"/>
      <c r="AK248" s="1656"/>
      <c r="AL248" s="125">
        <f>+AJ248/Y247</f>
        <v>0</v>
      </c>
      <c r="AM248" s="126"/>
      <c r="AN248" s="2181"/>
      <c r="AO248" s="1662"/>
      <c r="AP248" s="1005">
        <f t="shared" si="121"/>
        <v>10333333333.333351</v>
      </c>
      <c r="AQ248" s="287" t="str">
        <f t="shared" si="122"/>
        <v>Bien</v>
      </c>
      <c r="AR248" s="1150" t="s">
        <v>1203</v>
      </c>
      <c r="AS248" s="18"/>
    </row>
    <row r="249" spans="1:45" ht="54" customHeight="1" x14ac:dyDescent="0.25">
      <c r="A249" s="2174"/>
      <c r="B249" s="1642"/>
      <c r="C249" s="1771"/>
      <c r="D249" s="1771"/>
      <c r="E249" s="1689"/>
      <c r="F249" s="2222"/>
      <c r="G249" s="2222"/>
      <c r="H249" s="2222"/>
      <c r="I249" s="2218"/>
      <c r="J249" s="1685"/>
      <c r="K249" s="919" t="s">
        <v>1037</v>
      </c>
      <c r="L249" s="920" t="s">
        <v>981</v>
      </c>
      <c r="M249" s="928">
        <v>0</v>
      </c>
      <c r="N249" s="928">
        <v>2</v>
      </c>
      <c r="O249" s="929"/>
      <c r="P249" s="929"/>
      <c r="Q249" s="936">
        <v>2</v>
      </c>
      <c r="R249" s="925"/>
      <c r="S249" s="925"/>
      <c r="T249" s="512"/>
      <c r="U249" s="926"/>
      <c r="V249" s="926"/>
      <c r="W249" s="926">
        <v>450000000</v>
      </c>
      <c r="X249" s="926"/>
      <c r="Y249" s="926">
        <f t="shared" si="126"/>
        <v>450000000</v>
      </c>
      <c r="Z249" s="1656"/>
      <c r="AA249" s="927">
        <v>450000000</v>
      </c>
      <c r="AB249" s="1659"/>
      <c r="AC249" s="125"/>
      <c r="AD249" s="126"/>
      <c r="AE249" s="1059"/>
      <c r="AF249" s="125"/>
      <c r="AG249" s="126"/>
      <c r="AH249" s="937"/>
      <c r="AI249" s="125"/>
      <c r="AJ249" s="126"/>
      <c r="AK249" s="937"/>
      <c r="AL249" s="125"/>
      <c r="AM249" s="126"/>
      <c r="AN249" s="803"/>
      <c r="AO249" s="859"/>
      <c r="AP249" s="1005">
        <f t="shared" si="121"/>
        <v>450000000</v>
      </c>
      <c r="AQ249" s="287" t="str">
        <f t="shared" si="122"/>
        <v>Bien</v>
      </c>
      <c r="AR249" s="1150" t="s">
        <v>1203</v>
      </c>
      <c r="AS249" s="18"/>
    </row>
    <row r="250" spans="1:45" ht="25.5" x14ac:dyDescent="0.25">
      <c r="A250" s="2174"/>
      <c r="B250" s="1642"/>
      <c r="C250" s="1771"/>
      <c r="D250" s="1771"/>
      <c r="E250" s="1667" t="s">
        <v>369</v>
      </c>
      <c r="F250" s="1670" t="s">
        <v>370</v>
      </c>
      <c r="G250" s="1673" t="s">
        <v>371</v>
      </c>
      <c r="H250" s="1663">
        <v>296</v>
      </c>
      <c r="I250" s="1664">
        <f>1982+H250</f>
        <v>2278</v>
      </c>
      <c r="J250" s="919" t="s">
        <v>372</v>
      </c>
      <c r="K250" s="919" t="s">
        <v>373</v>
      </c>
      <c r="L250" s="920" t="s">
        <v>368</v>
      </c>
      <c r="M250" s="928">
        <v>1.2</v>
      </c>
      <c r="N250" s="928">
        <v>12</v>
      </c>
      <c r="O250" s="929"/>
      <c r="P250" s="929">
        <v>8</v>
      </c>
      <c r="Q250" s="929">
        <v>2</v>
      </c>
      <c r="R250" s="925">
        <v>2</v>
      </c>
      <c r="S250" s="925"/>
      <c r="T250" s="512"/>
      <c r="U250" s="926"/>
      <c r="V250" s="926">
        <f>2100000000+6950000000</f>
        <v>9050000000</v>
      </c>
      <c r="W250" s="938">
        <v>2100000000</v>
      </c>
      <c r="X250" s="926">
        <v>2100000000</v>
      </c>
      <c r="Y250" s="926">
        <f t="shared" si="126"/>
        <v>13250000000</v>
      </c>
      <c r="Z250" s="1686">
        <f>+SUM(Y250:Y252)</f>
        <v>20100000000</v>
      </c>
      <c r="AA250" s="926">
        <v>2180000000</v>
      </c>
      <c r="AB250" s="1690">
        <f>+SUM(AA250:AA252)</f>
        <v>9030000000</v>
      </c>
      <c r="AC250" s="125">
        <f t="shared" si="123"/>
        <v>0.16452830188679246</v>
      </c>
      <c r="AD250" s="939">
        <f>470000000+1800000000</f>
        <v>2270000000</v>
      </c>
      <c r="AE250" s="1690">
        <f>+SUM(AD250:AD252)</f>
        <v>2270000000</v>
      </c>
      <c r="AF250" s="125">
        <f t="shared" si="115"/>
        <v>0.17132075471698113</v>
      </c>
      <c r="AG250" s="939">
        <v>4300000000</v>
      </c>
      <c r="AH250" s="1686">
        <f>+SUM(AG250:AG252)</f>
        <v>4300000000</v>
      </c>
      <c r="AI250" s="125">
        <f t="shared" si="124"/>
        <v>0.32452830188679244</v>
      </c>
      <c r="AJ250" s="126"/>
      <c r="AK250" s="1686">
        <f>+SUM(AJ250:AJ252)</f>
        <v>0</v>
      </c>
      <c r="AL250" s="125">
        <f t="shared" si="125"/>
        <v>0</v>
      </c>
      <c r="AM250" s="940">
        <f>1500000000*3</f>
        <v>4500000000</v>
      </c>
      <c r="AN250" s="2180">
        <f>+SUM(AM250:AM252)</f>
        <v>4500000000</v>
      </c>
      <c r="AO250" s="1660"/>
      <c r="AP250" s="1005">
        <f t="shared" si="121"/>
        <v>13250000000</v>
      </c>
      <c r="AQ250" s="287" t="str">
        <f t="shared" si="122"/>
        <v>Bien</v>
      </c>
      <c r="AR250" s="1150" t="s">
        <v>1203</v>
      </c>
      <c r="AS250" s="18"/>
    </row>
    <row r="251" spans="1:45" ht="49.5" customHeight="1" x14ac:dyDescent="0.25">
      <c r="A251" s="2174"/>
      <c r="B251" s="1642"/>
      <c r="C251" s="1771"/>
      <c r="D251" s="1771"/>
      <c r="E251" s="1668"/>
      <c r="F251" s="1671"/>
      <c r="G251" s="1674"/>
      <c r="H251" s="1649"/>
      <c r="I251" s="1665"/>
      <c r="J251" s="919" t="s">
        <v>982</v>
      </c>
      <c r="K251" s="919" t="s">
        <v>983</v>
      </c>
      <c r="L251" s="920" t="s">
        <v>368</v>
      </c>
      <c r="M251" s="928">
        <v>100</v>
      </c>
      <c r="N251" s="928">
        <v>1100</v>
      </c>
      <c r="O251" s="929">
        <v>100</v>
      </c>
      <c r="P251" s="929">
        <v>300</v>
      </c>
      <c r="Q251" s="929">
        <v>300</v>
      </c>
      <c r="R251" s="925">
        <v>300</v>
      </c>
      <c r="S251" s="925"/>
      <c r="T251" s="512"/>
      <c r="U251" s="926">
        <v>750000000</v>
      </c>
      <c r="V251" s="926">
        <v>1300000000</v>
      </c>
      <c r="W251" s="926">
        <v>1300000000</v>
      </c>
      <c r="X251" s="926">
        <v>1300000000</v>
      </c>
      <c r="Y251" s="926">
        <f t="shared" si="126"/>
        <v>4650000000</v>
      </c>
      <c r="Z251" s="1655"/>
      <c r="AA251" s="927">
        <f>Y251</f>
        <v>4650000000</v>
      </c>
      <c r="AB251" s="1658"/>
      <c r="AC251" s="125">
        <f>+AA251/Y252</f>
        <v>2.1136363636363638</v>
      </c>
      <c r="AD251" s="126"/>
      <c r="AE251" s="1658"/>
      <c r="AF251" s="125">
        <f>+AD251/Y252</f>
        <v>0</v>
      </c>
      <c r="AG251" s="126"/>
      <c r="AH251" s="1655"/>
      <c r="AI251" s="125">
        <f>+AG251/Y252</f>
        <v>0</v>
      </c>
      <c r="AJ251" s="126"/>
      <c r="AK251" s="1655"/>
      <c r="AL251" s="125">
        <f>+AJ251/Y252</f>
        <v>0</v>
      </c>
      <c r="AM251" s="126"/>
      <c r="AN251" s="2182"/>
      <c r="AO251" s="1661"/>
      <c r="AP251" s="1005">
        <f t="shared" si="121"/>
        <v>4650000000</v>
      </c>
      <c r="AQ251" s="287" t="str">
        <f t="shared" si="122"/>
        <v>Bien</v>
      </c>
      <c r="AR251" s="1150" t="s">
        <v>1227</v>
      </c>
      <c r="AS251" s="18"/>
    </row>
    <row r="252" spans="1:45" ht="63.75" x14ac:dyDescent="0.25">
      <c r="A252" s="2174"/>
      <c r="B252" s="1642"/>
      <c r="C252" s="1771"/>
      <c r="D252" s="1771"/>
      <c r="E252" s="1669"/>
      <c r="F252" s="1672"/>
      <c r="G252" s="1675"/>
      <c r="H252" s="1650"/>
      <c r="I252" s="1666"/>
      <c r="J252" s="919" t="s">
        <v>374</v>
      </c>
      <c r="K252" s="919" t="s">
        <v>984</v>
      </c>
      <c r="L252" s="920" t="s">
        <v>368</v>
      </c>
      <c r="M252" s="928">
        <v>30</v>
      </c>
      <c r="N252" s="928">
        <v>1000</v>
      </c>
      <c r="O252" s="929">
        <v>200</v>
      </c>
      <c r="P252" s="929">
        <v>300</v>
      </c>
      <c r="Q252" s="929">
        <v>300</v>
      </c>
      <c r="R252" s="925">
        <v>300</v>
      </c>
      <c r="S252" s="925"/>
      <c r="T252" s="512"/>
      <c r="U252" s="926">
        <v>400000000</v>
      </c>
      <c r="V252" s="926">
        <v>500000000</v>
      </c>
      <c r="W252" s="926">
        <v>600000000</v>
      </c>
      <c r="X252" s="926">
        <v>700000000</v>
      </c>
      <c r="Y252" s="926">
        <f t="shared" si="126"/>
        <v>2200000000</v>
      </c>
      <c r="Z252" s="1656"/>
      <c r="AA252" s="927">
        <f>Y252</f>
        <v>2200000000</v>
      </c>
      <c r="AB252" s="1659"/>
      <c r="AC252" s="125">
        <f>+AA252/Y251</f>
        <v>0.4731182795698925</v>
      </c>
      <c r="AD252" s="126"/>
      <c r="AE252" s="1659"/>
      <c r="AF252" s="125">
        <f>+AD252/Y251</f>
        <v>0</v>
      </c>
      <c r="AG252" s="126"/>
      <c r="AH252" s="1656"/>
      <c r="AI252" s="125">
        <f>+AG252/Y251</f>
        <v>0</v>
      </c>
      <c r="AJ252" s="126"/>
      <c r="AK252" s="1656"/>
      <c r="AL252" s="125">
        <f>+AJ252/Y251</f>
        <v>0</v>
      </c>
      <c r="AM252" s="126"/>
      <c r="AN252" s="2181"/>
      <c r="AO252" s="1691"/>
      <c r="AP252" s="1005">
        <f t="shared" si="121"/>
        <v>2200000000</v>
      </c>
      <c r="AQ252" s="287" t="str">
        <f t="shared" si="122"/>
        <v>Bien</v>
      </c>
      <c r="AR252" s="1150" t="s">
        <v>1203</v>
      </c>
      <c r="AS252" s="18"/>
    </row>
    <row r="253" spans="1:45" ht="25.5" customHeight="1" x14ac:dyDescent="0.25">
      <c r="A253" s="2174"/>
      <c r="B253" s="1642"/>
      <c r="C253" s="1123">
        <v>4003</v>
      </c>
      <c r="D253" s="1123" t="s">
        <v>1091</v>
      </c>
      <c r="E253" s="1121" t="s">
        <v>375</v>
      </c>
      <c r="F253" s="941" t="s">
        <v>570</v>
      </c>
      <c r="G253" s="942" t="s">
        <v>376</v>
      </c>
      <c r="H253" s="943" t="s">
        <v>107</v>
      </c>
      <c r="I253" s="944">
        <v>0.8</v>
      </c>
      <c r="J253" s="919" t="s">
        <v>377</v>
      </c>
      <c r="K253" s="919" t="s">
        <v>378</v>
      </c>
      <c r="L253" s="920" t="s">
        <v>39</v>
      </c>
      <c r="M253" s="928">
        <v>0</v>
      </c>
      <c r="N253" s="921">
        <v>1</v>
      </c>
      <c r="O253" s="922">
        <v>0.25</v>
      </c>
      <c r="P253" s="922">
        <v>0.25</v>
      </c>
      <c r="Q253" s="922">
        <v>0.25</v>
      </c>
      <c r="R253" s="930">
        <v>0.25</v>
      </c>
      <c r="S253" s="930"/>
      <c r="T253" s="512"/>
      <c r="U253" s="926">
        <v>22680000</v>
      </c>
      <c r="V253" s="926">
        <v>24948000.000000004</v>
      </c>
      <c r="W253" s="926">
        <v>27442800.000000007</v>
      </c>
      <c r="X253" s="926">
        <v>30187080.000000011</v>
      </c>
      <c r="Y253" s="926">
        <f t="shared" si="126"/>
        <v>105257880.00000001</v>
      </c>
      <c r="Z253" s="945">
        <f>+Y253</f>
        <v>105257880.00000001</v>
      </c>
      <c r="AA253" s="927">
        <f>+Y253</f>
        <v>105257880.00000001</v>
      </c>
      <c r="AB253" s="1051">
        <f>+AA253</f>
        <v>105257880.00000001</v>
      </c>
      <c r="AC253" s="125">
        <f t="shared" si="123"/>
        <v>1</v>
      </c>
      <c r="AD253" s="126"/>
      <c r="AE253" s="1051">
        <f>+AD253</f>
        <v>0</v>
      </c>
      <c r="AF253" s="125">
        <f t="shared" si="115"/>
        <v>0</v>
      </c>
      <c r="AG253" s="126"/>
      <c r="AH253" s="945">
        <f>+AG253</f>
        <v>0</v>
      </c>
      <c r="AI253" s="125">
        <f t="shared" si="124"/>
        <v>0</v>
      </c>
      <c r="AJ253" s="126"/>
      <c r="AK253" s="945">
        <f>+AJ253</f>
        <v>0</v>
      </c>
      <c r="AL253" s="125">
        <f t="shared" si="125"/>
        <v>0</v>
      </c>
      <c r="AM253" s="126"/>
      <c r="AN253" s="796">
        <f>+AM253</f>
        <v>0</v>
      </c>
      <c r="AO253" s="149"/>
      <c r="AP253" s="1005">
        <f t="shared" si="121"/>
        <v>105257880.00000001</v>
      </c>
      <c r="AQ253" s="287" t="str">
        <f t="shared" si="122"/>
        <v>Bien</v>
      </c>
      <c r="AR253" s="1150" t="s">
        <v>1228</v>
      </c>
      <c r="AS253" s="18"/>
    </row>
    <row r="254" spans="1:45" ht="38.25" customHeight="1" x14ac:dyDescent="0.25">
      <c r="A254" s="2174"/>
      <c r="B254" s="1642"/>
      <c r="C254" s="2185">
        <v>1709</v>
      </c>
      <c r="D254" s="2185" t="s">
        <v>1100</v>
      </c>
      <c r="E254" s="1692" t="s">
        <v>379</v>
      </c>
      <c r="F254" s="946" t="s">
        <v>380</v>
      </c>
      <c r="G254" s="947" t="s">
        <v>381</v>
      </c>
      <c r="H254" s="948">
        <v>0.78</v>
      </c>
      <c r="I254" s="949">
        <v>0.9</v>
      </c>
      <c r="J254" s="2166" t="s">
        <v>985</v>
      </c>
      <c r="K254" s="950" t="s">
        <v>382</v>
      </c>
      <c r="L254" s="228" t="s">
        <v>39</v>
      </c>
      <c r="M254" s="951">
        <v>0</v>
      </c>
      <c r="N254" s="951">
        <v>0.9</v>
      </c>
      <c r="O254" s="922">
        <v>0.1</v>
      </c>
      <c r="P254" s="922">
        <v>0.2</v>
      </c>
      <c r="Q254" s="922">
        <v>0.3</v>
      </c>
      <c r="R254" s="930">
        <v>0.3</v>
      </c>
      <c r="S254" s="930"/>
      <c r="T254" s="512"/>
      <c r="U254" s="926">
        <v>600000000</v>
      </c>
      <c r="V254" s="926">
        <v>400000000</v>
      </c>
      <c r="W254" s="926">
        <v>1000000000</v>
      </c>
      <c r="X254" s="926">
        <v>1000000000</v>
      </c>
      <c r="Y254" s="926">
        <f t="shared" si="126"/>
        <v>3000000000</v>
      </c>
      <c r="Z254" s="1686">
        <f>+SUM(Y254:Y255)</f>
        <v>6000000000</v>
      </c>
      <c r="AA254" s="927">
        <f>+Y254</f>
        <v>3000000000</v>
      </c>
      <c r="AB254" s="1690">
        <f>+SUM(AA254:AA255)</f>
        <v>6000000000</v>
      </c>
      <c r="AC254" s="125">
        <f t="shared" si="123"/>
        <v>1</v>
      </c>
      <c r="AD254" s="126"/>
      <c r="AE254" s="1690">
        <f>+SUM(AD254:AD255)</f>
        <v>0</v>
      </c>
      <c r="AF254" s="125">
        <f t="shared" si="115"/>
        <v>0</v>
      </c>
      <c r="AG254" s="126"/>
      <c r="AH254" s="1686">
        <f>+SUM(AG254:AG255)</f>
        <v>0</v>
      </c>
      <c r="AI254" s="125">
        <f t="shared" si="124"/>
        <v>0</v>
      </c>
      <c r="AJ254" s="126"/>
      <c r="AK254" s="1686">
        <f>+SUM(AJ254:AJ255)</f>
        <v>0</v>
      </c>
      <c r="AL254" s="125">
        <f t="shared" si="125"/>
        <v>0</v>
      </c>
      <c r="AM254" s="126"/>
      <c r="AN254" s="2180">
        <f>+SUM(AM254:AM255)</f>
        <v>0</v>
      </c>
      <c r="AO254" s="1660"/>
      <c r="AP254" s="1005">
        <f t="shared" si="121"/>
        <v>3000000000</v>
      </c>
      <c r="AQ254" s="287" t="str">
        <f t="shared" si="122"/>
        <v>Bien</v>
      </c>
      <c r="AR254" s="1150" t="s">
        <v>1229</v>
      </c>
      <c r="AS254" s="18"/>
    </row>
    <row r="255" spans="1:45" ht="43.5" customHeight="1" x14ac:dyDescent="0.25">
      <c r="A255" s="2174"/>
      <c r="B255" s="1642"/>
      <c r="C255" s="2185"/>
      <c r="D255" s="2185"/>
      <c r="E255" s="1678"/>
      <c r="F255" s="946" t="s">
        <v>380</v>
      </c>
      <c r="G255" s="952" t="s">
        <v>383</v>
      </c>
      <c r="H255" s="948">
        <v>0.69</v>
      </c>
      <c r="I255" s="949">
        <v>0.9</v>
      </c>
      <c r="J255" s="2167"/>
      <c r="K255" s="227" t="s">
        <v>384</v>
      </c>
      <c r="L255" s="229" t="s">
        <v>39</v>
      </c>
      <c r="M255" s="230">
        <v>0</v>
      </c>
      <c r="N255" s="230">
        <v>0.9</v>
      </c>
      <c r="O255" s="922">
        <v>0.1</v>
      </c>
      <c r="P255" s="922">
        <v>0.2</v>
      </c>
      <c r="Q255" s="922">
        <v>0.3</v>
      </c>
      <c r="R255" s="930">
        <v>0.3</v>
      </c>
      <c r="S255" s="930"/>
      <c r="T255" s="512"/>
      <c r="U255" s="926">
        <v>400000000</v>
      </c>
      <c r="V255" s="926">
        <v>600000000</v>
      </c>
      <c r="W255" s="926">
        <v>1000000000</v>
      </c>
      <c r="X255" s="926">
        <v>1000000000</v>
      </c>
      <c r="Y255" s="926">
        <f t="shared" si="126"/>
        <v>3000000000</v>
      </c>
      <c r="Z255" s="1656"/>
      <c r="AA255" s="927">
        <f>+Y255</f>
        <v>3000000000</v>
      </c>
      <c r="AB255" s="1659"/>
      <c r="AC255" s="125">
        <f t="shared" si="123"/>
        <v>1</v>
      </c>
      <c r="AD255" s="126"/>
      <c r="AE255" s="1659"/>
      <c r="AF255" s="125">
        <f t="shared" si="115"/>
        <v>0</v>
      </c>
      <c r="AG255" s="126"/>
      <c r="AH255" s="1656"/>
      <c r="AI255" s="125">
        <f t="shared" si="124"/>
        <v>0</v>
      </c>
      <c r="AJ255" s="126"/>
      <c r="AK255" s="1656"/>
      <c r="AL255" s="125">
        <f t="shared" si="125"/>
        <v>0</v>
      </c>
      <c r="AM255" s="126"/>
      <c r="AN255" s="2181"/>
      <c r="AO255" s="1691"/>
      <c r="AP255" s="1005">
        <f t="shared" si="121"/>
        <v>3000000000</v>
      </c>
      <c r="AQ255" s="287" t="str">
        <f t="shared" si="122"/>
        <v>Bien</v>
      </c>
      <c r="AR255" s="1150" t="s">
        <v>1229</v>
      </c>
      <c r="AS255" s="18"/>
    </row>
    <row r="256" spans="1:45" ht="63.75" x14ac:dyDescent="0.25">
      <c r="A256" s="2174"/>
      <c r="B256" s="1642"/>
      <c r="C256" s="1123">
        <v>4301</v>
      </c>
      <c r="D256" s="1123" t="s">
        <v>1084</v>
      </c>
      <c r="E256" s="1167" t="s">
        <v>385</v>
      </c>
      <c r="F256" s="953" t="s">
        <v>386</v>
      </c>
      <c r="G256" s="942" t="s">
        <v>387</v>
      </c>
      <c r="H256" s="942">
        <v>0</v>
      </c>
      <c r="I256" s="954">
        <v>1</v>
      </c>
      <c r="J256" s="919" t="s">
        <v>388</v>
      </c>
      <c r="K256" s="919" t="s">
        <v>389</v>
      </c>
      <c r="L256" s="920" t="s">
        <v>390</v>
      </c>
      <c r="M256" s="921">
        <v>0</v>
      </c>
      <c r="N256" s="921">
        <v>0.5</v>
      </c>
      <c r="O256" s="922">
        <v>0.1</v>
      </c>
      <c r="P256" s="922">
        <v>0.2</v>
      </c>
      <c r="Q256" s="922">
        <v>0.1</v>
      </c>
      <c r="R256" s="930">
        <v>0.1</v>
      </c>
      <c r="S256" s="930"/>
      <c r="T256" s="512"/>
      <c r="U256" s="926">
        <v>630000000</v>
      </c>
      <c r="V256" s="926">
        <v>930000000</v>
      </c>
      <c r="W256" s="926">
        <v>630000000</v>
      </c>
      <c r="X256" s="926">
        <v>630000000</v>
      </c>
      <c r="Y256" s="926">
        <f t="shared" si="126"/>
        <v>2820000000</v>
      </c>
      <c r="Z256" s="945">
        <f>+Y256</f>
        <v>2820000000</v>
      </c>
      <c r="AA256" s="926">
        <f>330000000*4</f>
        <v>1320000000</v>
      </c>
      <c r="AB256" s="1051">
        <f>+AA256</f>
        <v>1320000000</v>
      </c>
      <c r="AC256" s="125">
        <f t="shared" si="123"/>
        <v>0.46808510638297873</v>
      </c>
      <c r="AD256" s="126"/>
      <c r="AE256" s="1051">
        <f>+AD256</f>
        <v>0</v>
      </c>
      <c r="AF256" s="125">
        <f t="shared" si="115"/>
        <v>0</v>
      </c>
      <c r="AG256" s="126"/>
      <c r="AH256" s="945">
        <f>+AG256</f>
        <v>0</v>
      </c>
      <c r="AI256" s="125">
        <f t="shared" si="124"/>
        <v>0</v>
      </c>
      <c r="AJ256" s="126"/>
      <c r="AK256" s="945">
        <f>+AJ256</f>
        <v>0</v>
      </c>
      <c r="AL256" s="125">
        <f t="shared" si="125"/>
        <v>0</v>
      </c>
      <c r="AM256" s="939">
        <v>1500000000</v>
      </c>
      <c r="AN256" s="796">
        <f>+AM256</f>
        <v>1500000000</v>
      </c>
      <c r="AO256" s="149"/>
      <c r="AP256" s="1005">
        <f t="shared" si="121"/>
        <v>2820000000</v>
      </c>
      <c r="AQ256" s="287" t="str">
        <f t="shared" si="122"/>
        <v>Bien</v>
      </c>
      <c r="AR256" s="1150" t="s">
        <v>1203</v>
      </c>
      <c r="AS256" s="18"/>
    </row>
    <row r="257" spans="1:45" ht="42.75" customHeight="1" x14ac:dyDescent="0.25">
      <c r="A257" s="2174"/>
      <c r="B257" s="1642"/>
      <c r="C257" s="2185">
        <v>2102</v>
      </c>
      <c r="D257" s="2185" t="s">
        <v>1101</v>
      </c>
      <c r="E257" s="2194" t="s">
        <v>986</v>
      </c>
      <c r="F257" s="955" t="s">
        <v>391</v>
      </c>
      <c r="G257" s="956" t="s">
        <v>392</v>
      </c>
      <c r="H257" s="957">
        <v>1</v>
      </c>
      <c r="I257" s="957">
        <v>1</v>
      </c>
      <c r="J257" s="919" t="s">
        <v>393</v>
      </c>
      <c r="K257" s="229" t="s">
        <v>987</v>
      </c>
      <c r="L257" s="228" t="s">
        <v>988</v>
      </c>
      <c r="M257" s="958">
        <v>1500000000</v>
      </c>
      <c r="N257" s="958">
        <v>10000000000</v>
      </c>
      <c r="O257" s="959">
        <v>2500000000</v>
      </c>
      <c r="P257" s="959">
        <v>2500000000</v>
      </c>
      <c r="Q257" s="959">
        <v>2500000000</v>
      </c>
      <c r="R257" s="960">
        <v>2500000000</v>
      </c>
      <c r="S257" s="960"/>
      <c r="T257" s="512"/>
      <c r="U257" s="926">
        <v>2500000000</v>
      </c>
      <c r="V257" s="926">
        <v>2500000000</v>
      </c>
      <c r="W257" s="926">
        <v>2500000000</v>
      </c>
      <c r="X257" s="926">
        <v>2500000000</v>
      </c>
      <c r="Y257" s="926">
        <f t="shared" si="126"/>
        <v>10000000000</v>
      </c>
      <c r="Z257" s="1686">
        <f>+SUM(Y257:Y263)</f>
        <v>23060000000</v>
      </c>
      <c r="AA257" s="927"/>
      <c r="AB257" s="1690">
        <f>+SUM(AA257:AA263)</f>
        <v>12630000000</v>
      </c>
      <c r="AC257" s="125">
        <f t="shared" si="123"/>
        <v>0</v>
      </c>
      <c r="AD257" s="126">
        <f>+Y257</f>
        <v>10000000000</v>
      </c>
      <c r="AE257" s="1690">
        <f>+SUM(AD257:AD263)</f>
        <v>10430000000</v>
      </c>
      <c r="AF257" s="125">
        <f t="shared" si="115"/>
        <v>1</v>
      </c>
      <c r="AG257" s="126"/>
      <c r="AH257" s="1686">
        <f>+SUM(AG257:AG261)</f>
        <v>0</v>
      </c>
      <c r="AI257" s="125">
        <f t="shared" si="124"/>
        <v>0</v>
      </c>
      <c r="AJ257" s="126"/>
      <c r="AK257" s="1686">
        <f>+SUM(AJ257:AJ261)</f>
        <v>0</v>
      </c>
      <c r="AL257" s="125">
        <f t="shared" si="125"/>
        <v>0</v>
      </c>
      <c r="AM257" s="126"/>
      <c r="AN257" s="2180">
        <f>+SUM(AM257:AM261)</f>
        <v>0</v>
      </c>
      <c r="AO257" s="1660"/>
      <c r="AP257" s="1005">
        <f t="shared" si="121"/>
        <v>10000000000</v>
      </c>
      <c r="AQ257" s="287" t="str">
        <f t="shared" si="122"/>
        <v>Bien</v>
      </c>
      <c r="AR257" s="1150" t="s">
        <v>1203</v>
      </c>
      <c r="AS257" s="18"/>
    </row>
    <row r="258" spans="1:45" ht="38.25" x14ac:dyDescent="0.25">
      <c r="A258" s="2174"/>
      <c r="B258" s="1642"/>
      <c r="C258" s="2185"/>
      <c r="D258" s="2185"/>
      <c r="E258" s="2194"/>
      <c r="F258" s="961" t="s">
        <v>394</v>
      </c>
      <c r="G258" s="962" t="s">
        <v>395</v>
      </c>
      <c r="H258" s="963">
        <v>14028</v>
      </c>
      <c r="I258" s="931">
        <v>14128</v>
      </c>
      <c r="J258" s="964" t="s">
        <v>989</v>
      </c>
      <c r="K258" s="229" t="s">
        <v>396</v>
      </c>
      <c r="L258" s="228" t="s">
        <v>990</v>
      </c>
      <c r="M258" s="228" t="s">
        <v>107</v>
      </c>
      <c r="N258" s="958">
        <v>10500000000</v>
      </c>
      <c r="O258" s="959">
        <v>1500000000</v>
      </c>
      <c r="P258" s="959">
        <v>3000000000</v>
      </c>
      <c r="Q258" s="959">
        <v>3000000000</v>
      </c>
      <c r="R258" s="960">
        <v>3000000000</v>
      </c>
      <c r="S258" s="960"/>
      <c r="T258" s="965"/>
      <c r="U258" s="926">
        <v>1500000000</v>
      </c>
      <c r="V258" s="926">
        <v>3000000000</v>
      </c>
      <c r="W258" s="926">
        <v>3000000000</v>
      </c>
      <c r="X258" s="926">
        <v>3000000000</v>
      </c>
      <c r="Y258" s="926">
        <f t="shared" si="126"/>
        <v>10500000000</v>
      </c>
      <c r="Z258" s="1655"/>
      <c r="AA258" s="927">
        <f t="shared" ref="AA258:AA266" si="127">+Y258</f>
        <v>10500000000</v>
      </c>
      <c r="AB258" s="1658"/>
      <c r="AC258" s="125">
        <f t="shared" si="123"/>
        <v>1</v>
      </c>
      <c r="AD258" s="126"/>
      <c r="AE258" s="1658"/>
      <c r="AF258" s="125">
        <f t="shared" si="115"/>
        <v>0</v>
      </c>
      <c r="AG258" s="126"/>
      <c r="AH258" s="1655"/>
      <c r="AI258" s="125">
        <f t="shared" si="124"/>
        <v>0</v>
      </c>
      <c r="AJ258" s="126"/>
      <c r="AK258" s="1655"/>
      <c r="AL258" s="125">
        <f t="shared" si="125"/>
        <v>0</v>
      </c>
      <c r="AM258" s="126"/>
      <c r="AN258" s="2182"/>
      <c r="AO258" s="1661"/>
      <c r="AP258" s="1005">
        <f t="shared" si="121"/>
        <v>10500000000</v>
      </c>
      <c r="AQ258" s="287" t="str">
        <f t="shared" si="122"/>
        <v>Bien</v>
      </c>
      <c r="AR258" s="1150" t="s">
        <v>1203</v>
      </c>
      <c r="AS258" s="18"/>
    </row>
    <row r="259" spans="1:45" ht="25.5" customHeight="1" x14ac:dyDescent="0.25">
      <c r="A259" s="2174"/>
      <c r="B259" s="1642"/>
      <c r="C259" s="2185"/>
      <c r="D259" s="2185"/>
      <c r="E259" s="2194"/>
      <c r="F259" s="2186" t="s">
        <v>397</v>
      </c>
      <c r="G259" s="2187" t="s">
        <v>398</v>
      </c>
      <c r="H259" s="2188">
        <v>30164</v>
      </c>
      <c r="I259" s="2189">
        <v>32292</v>
      </c>
      <c r="J259" s="2205" t="s">
        <v>399</v>
      </c>
      <c r="K259" s="2207" t="s">
        <v>400</v>
      </c>
      <c r="L259" s="228" t="s">
        <v>656</v>
      </c>
      <c r="M259" s="958">
        <v>7894</v>
      </c>
      <c r="N259" s="958">
        <v>9524</v>
      </c>
      <c r="O259" s="929">
        <v>8724</v>
      </c>
      <c r="P259" s="929">
        <v>9104</v>
      </c>
      <c r="Q259" s="929">
        <v>9524</v>
      </c>
      <c r="R259" s="925">
        <v>9524</v>
      </c>
      <c r="S259" s="925"/>
      <c r="T259" s="512"/>
      <c r="U259" s="926">
        <v>830000000</v>
      </c>
      <c r="V259" s="926">
        <v>380000000</v>
      </c>
      <c r="W259" s="926">
        <v>420000000</v>
      </c>
      <c r="X259" s="926">
        <v>0</v>
      </c>
      <c r="Y259" s="926">
        <f t="shared" si="126"/>
        <v>1630000000</v>
      </c>
      <c r="Z259" s="1655"/>
      <c r="AA259" s="927">
        <f t="shared" si="127"/>
        <v>1630000000</v>
      </c>
      <c r="AB259" s="1658"/>
      <c r="AC259" s="125">
        <f t="shared" si="123"/>
        <v>1</v>
      </c>
      <c r="AD259" s="126"/>
      <c r="AE259" s="1658"/>
      <c r="AF259" s="125">
        <f t="shared" si="115"/>
        <v>0</v>
      </c>
      <c r="AG259" s="126"/>
      <c r="AH259" s="1655"/>
      <c r="AI259" s="125">
        <f t="shared" si="124"/>
        <v>0</v>
      </c>
      <c r="AJ259" s="126"/>
      <c r="AK259" s="1655"/>
      <c r="AL259" s="125">
        <f t="shared" si="125"/>
        <v>0</v>
      </c>
      <c r="AM259" s="126"/>
      <c r="AN259" s="2182"/>
      <c r="AO259" s="1661"/>
      <c r="AP259" s="1005">
        <f t="shared" si="121"/>
        <v>1630000000</v>
      </c>
      <c r="AQ259" s="287" t="str">
        <f t="shared" si="122"/>
        <v>Bien</v>
      </c>
      <c r="AR259" s="1150" t="s">
        <v>1230</v>
      </c>
      <c r="AS259" s="18"/>
    </row>
    <row r="260" spans="1:45" ht="63.75" x14ac:dyDescent="0.25">
      <c r="A260" s="2174"/>
      <c r="B260" s="1642"/>
      <c r="C260" s="2185"/>
      <c r="D260" s="2185"/>
      <c r="E260" s="2194"/>
      <c r="F260" s="2186"/>
      <c r="G260" s="2187"/>
      <c r="H260" s="2188"/>
      <c r="I260" s="2189"/>
      <c r="J260" s="2205"/>
      <c r="K260" s="2207"/>
      <c r="L260" s="229" t="s">
        <v>657</v>
      </c>
      <c r="M260" s="967">
        <v>21966</v>
      </c>
      <c r="N260" s="967">
        <v>22410</v>
      </c>
      <c r="O260" s="929">
        <v>21980</v>
      </c>
      <c r="P260" s="929">
        <v>22110</v>
      </c>
      <c r="Q260" s="929">
        <v>22230</v>
      </c>
      <c r="R260" s="925">
        <v>22410</v>
      </c>
      <c r="S260" s="925"/>
      <c r="T260" s="512"/>
      <c r="U260" s="926">
        <v>14000000</v>
      </c>
      <c r="V260" s="926">
        <v>130000000</v>
      </c>
      <c r="W260" s="926">
        <v>120000000</v>
      </c>
      <c r="X260" s="926">
        <v>180000000</v>
      </c>
      <c r="Y260" s="926">
        <f t="shared" si="126"/>
        <v>444000000</v>
      </c>
      <c r="Z260" s="1655"/>
      <c r="AA260" s="927">
        <f t="shared" si="127"/>
        <v>444000000</v>
      </c>
      <c r="AB260" s="1658"/>
      <c r="AC260" s="125"/>
      <c r="AD260" s="126"/>
      <c r="AE260" s="1658"/>
      <c r="AF260" s="125"/>
      <c r="AG260" s="126"/>
      <c r="AH260" s="1655"/>
      <c r="AI260" s="125"/>
      <c r="AJ260" s="126"/>
      <c r="AK260" s="1655"/>
      <c r="AL260" s="125"/>
      <c r="AM260" s="126"/>
      <c r="AN260" s="2182"/>
      <c r="AO260" s="1661"/>
      <c r="AP260" s="1005">
        <f t="shared" si="121"/>
        <v>444000000</v>
      </c>
      <c r="AQ260" s="287" t="str">
        <f t="shared" si="122"/>
        <v>Bien</v>
      </c>
      <c r="AR260" s="1150" t="s">
        <v>1230</v>
      </c>
      <c r="AS260" s="18"/>
    </row>
    <row r="261" spans="1:45" ht="63.75" x14ac:dyDescent="0.25">
      <c r="A261" s="2174"/>
      <c r="B261" s="1642"/>
      <c r="C261" s="2185"/>
      <c r="D261" s="2185"/>
      <c r="E261" s="2194"/>
      <c r="F261" s="2186"/>
      <c r="G261" s="2187"/>
      <c r="H261" s="2188"/>
      <c r="I261" s="2189"/>
      <c r="J261" s="2206"/>
      <c r="K261" s="2207"/>
      <c r="L261" s="229" t="s">
        <v>658</v>
      </c>
      <c r="M261" s="229">
        <v>304</v>
      </c>
      <c r="N261" s="229">
        <v>360</v>
      </c>
      <c r="O261" s="929">
        <v>312</v>
      </c>
      <c r="P261" s="929">
        <v>320</v>
      </c>
      <c r="Q261" s="929">
        <v>340</v>
      </c>
      <c r="R261" s="925">
        <v>360</v>
      </c>
      <c r="S261" s="925"/>
      <c r="T261" s="512"/>
      <c r="U261" s="926">
        <v>8000000</v>
      </c>
      <c r="V261" s="926">
        <v>8000000</v>
      </c>
      <c r="W261" s="926">
        <v>20000000</v>
      </c>
      <c r="X261" s="926">
        <v>20000000</v>
      </c>
      <c r="Y261" s="926">
        <f t="shared" si="126"/>
        <v>56000000</v>
      </c>
      <c r="Z261" s="1655"/>
      <c r="AA261" s="927">
        <f t="shared" si="127"/>
        <v>56000000</v>
      </c>
      <c r="AB261" s="1658"/>
      <c r="AC261" s="125">
        <f t="shared" si="123"/>
        <v>1</v>
      </c>
      <c r="AD261" s="126"/>
      <c r="AE261" s="1658"/>
      <c r="AF261" s="125">
        <f>+AD261/Y261</f>
        <v>0</v>
      </c>
      <c r="AG261" s="126"/>
      <c r="AH261" s="1656"/>
      <c r="AI261" s="125">
        <f>+AG261/Y261</f>
        <v>0</v>
      </c>
      <c r="AJ261" s="126"/>
      <c r="AK261" s="1656"/>
      <c r="AL261" s="125">
        <f>+AJ261/Y261</f>
        <v>0</v>
      </c>
      <c r="AM261" s="126"/>
      <c r="AN261" s="2181"/>
      <c r="AO261" s="1661"/>
      <c r="AP261" s="1005">
        <f t="shared" si="121"/>
        <v>56000000</v>
      </c>
      <c r="AQ261" s="287" t="str">
        <f t="shared" si="122"/>
        <v>Bien</v>
      </c>
      <c r="AR261" s="1150" t="s">
        <v>1230</v>
      </c>
      <c r="AS261" s="18"/>
    </row>
    <row r="262" spans="1:45" ht="23.25" customHeight="1" x14ac:dyDescent="0.25">
      <c r="A262" s="2174"/>
      <c r="B262" s="1642"/>
      <c r="C262" s="2185"/>
      <c r="D262" s="2185"/>
      <c r="E262" s="2194"/>
      <c r="F262" s="2186" t="s">
        <v>1072</v>
      </c>
      <c r="G262" s="2187" t="s">
        <v>1073</v>
      </c>
      <c r="H262" s="2188">
        <v>0</v>
      </c>
      <c r="I262" s="2189">
        <v>4</v>
      </c>
      <c r="J262" s="2192" t="s">
        <v>1064</v>
      </c>
      <c r="K262" s="950" t="s">
        <v>1065</v>
      </c>
      <c r="L262" s="966" t="s">
        <v>193</v>
      </c>
      <c r="M262" s="966">
        <v>0</v>
      </c>
      <c r="N262" s="966">
        <v>1</v>
      </c>
      <c r="O262" s="929"/>
      <c r="P262" s="929">
        <v>1</v>
      </c>
      <c r="Q262" s="929"/>
      <c r="R262" s="925"/>
      <c r="S262" s="925"/>
      <c r="T262" s="512"/>
      <c r="U262" s="926"/>
      <c r="V262" s="926">
        <v>80000000</v>
      </c>
      <c r="W262" s="926"/>
      <c r="X262" s="926"/>
      <c r="Y262" s="926">
        <f>+U262+V262+W262+X262</f>
        <v>80000000</v>
      </c>
      <c r="Z262" s="1655"/>
      <c r="AA262" s="927"/>
      <c r="AB262" s="1658"/>
      <c r="AC262" s="125">
        <f t="shared" si="123"/>
        <v>0</v>
      </c>
      <c r="AD262" s="126">
        <f>+Y262</f>
        <v>80000000</v>
      </c>
      <c r="AE262" s="1658"/>
      <c r="AF262" s="125">
        <f>+AD262/Y262</f>
        <v>1</v>
      </c>
      <c r="AG262" s="126"/>
      <c r="AH262" s="937"/>
      <c r="AI262" s="125">
        <f>+AG262/Y262</f>
        <v>0</v>
      </c>
      <c r="AJ262" s="126"/>
      <c r="AK262" s="937"/>
      <c r="AL262" s="125">
        <f>+AJ262/Y262</f>
        <v>0</v>
      </c>
      <c r="AM262" s="126"/>
      <c r="AN262" s="847"/>
      <c r="AO262" s="972"/>
      <c r="AP262" s="1005">
        <f t="shared" si="121"/>
        <v>80000000</v>
      </c>
      <c r="AQ262" s="287" t="str">
        <f t="shared" si="122"/>
        <v>Bien</v>
      </c>
      <c r="AR262" s="1150" t="s">
        <v>1203</v>
      </c>
      <c r="AS262" s="18"/>
    </row>
    <row r="263" spans="1:45" ht="23.25" customHeight="1" x14ac:dyDescent="0.25">
      <c r="A263" s="2174"/>
      <c r="B263" s="1642"/>
      <c r="C263" s="2185"/>
      <c r="D263" s="2185"/>
      <c r="E263" s="2194"/>
      <c r="F263" s="2186"/>
      <c r="G263" s="2187"/>
      <c r="H263" s="2188"/>
      <c r="I263" s="2189"/>
      <c r="J263" s="2193"/>
      <c r="K263" s="950" t="s">
        <v>1066</v>
      </c>
      <c r="L263" s="966" t="s">
        <v>193</v>
      </c>
      <c r="M263" s="966">
        <v>0</v>
      </c>
      <c r="N263" s="966">
        <v>4</v>
      </c>
      <c r="O263" s="929">
        <v>0</v>
      </c>
      <c r="P263" s="929">
        <v>1</v>
      </c>
      <c r="Q263" s="929">
        <v>2</v>
      </c>
      <c r="R263" s="925">
        <v>1</v>
      </c>
      <c r="S263" s="925"/>
      <c r="T263" s="512"/>
      <c r="U263" s="926"/>
      <c r="V263" s="926">
        <f>+Y263/4</f>
        <v>87500000</v>
      </c>
      <c r="W263" s="926">
        <f>+V263*2</f>
        <v>175000000</v>
      </c>
      <c r="X263" s="926">
        <f>+V263</f>
        <v>87500000</v>
      </c>
      <c r="Y263" s="926">
        <v>350000000</v>
      </c>
      <c r="Z263" s="1656"/>
      <c r="AA263" s="927"/>
      <c r="AB263" s="1659"/>
      <c r="AC263" s="125"/>
      <c r="AD263" s="126">
        <v>350000000</v>
      </c>
      <c r="AE263" s="1659"/>
      <c r="AF263" s="125"/>
      <c r="AG263" s="126"/>
      <c r="AH263" s="937"/>
      <c r="AI263" s="125"/>
      <c r="AJ263" s="126"/>
      <c r="AK263" s="937"/>
      <c r="AL263" s="125"/>
      <c r="AM263" s="126"/>
      <c r="AN263" s="847"/>
      <c r="AO263" s="972"/>
      <c r="AP263" s="1005">
        <f t="shared" si="121"/>
        <v>350000000</v>
      </c>
      <c r="AQ263" s="287" t="str">
        <f t="shared" si="122"/>
        <v>Bien</v>
      </c>
      <c r="AR263" s="1150" t="s">
        <v>1203</v>
      </c>
      <c r="AS263" s="18"/>
    </row>
    <row r="264" spans="1:45" ht="38.25" customHeight="1" x14ac:dyDescent="0.25">
      <c r="A264" s="2174"/>
      <c r="B264" s="1642"/>
      <c r="C264" s="1127"/>
      <c r="D264" s="1128"/>
      <c r="E264" s="2154" t="s">
        <v>761</v>
      </c>
      <c r="F264" s="2156" t="s">
        <v>760</v>
      </c>
      <c r="G264" s="2158" t="s">
        <v>762</v>
      </c>
      <c r="H264" s="2159">
        <v>1</v>
      </c>
      <c r="I264" s="2160">
        <v>1</v>
      </c>
      <c r="J264" s="2161" t="s">
        <v>401</v>
      </c>
      <c r="K264" s="227" t="s">
        <v>659</v>
      </c>
      <c r="L264" s="228" t="s">
        <v>39</v>
      </c>
      <c r="M264" s="951">
        <v>0</v>
      </c>
      <c r="N264" s="951">
        <v>1</v>
      </c>
      <c r="O264" s="922">
        <v>0.25</v>
      </c>
      <c r="P264" s="922">
        <v>0.25</v>
      </c>
      <c r="Q264" s="922">
        <v>0.25</v>
      </c>
      <c r="R264" s="930">
        <v>0.25</v>
      </c>
      <c r="S264" s="930"/>
      <c r="T264" s="512"/>
      <c r="U264" s="926">
        <v>40000000</v>
      </c>
      <c r="V264" s="926">
        <v>144000000</v>
      </c>
      <c r="W264" s="926">
        <v>144000000</v>
      </c>
      <c r="X264" s="926">
        <v>144000000</v>
      </c>
      <c r="Y264" s="926">
        <f t="shared" si="126"/>
        <v>472000000</v>
      </c>
      <c r="Z264" s="1686">
        <f>+SUM(Y264:Y268)</f>
        <v>5422000000</v>
      </c>
      <c r="AA264" s="927">
        <f t="shared" si="127"/>
        <v>472000000</v>
      </c>
      <c r="AB264" s="1690">
        <f>+SUM(AA264:AA268)</f>
        <v>5422000000</v>
      </c>
      <c r="AC264" s="125">
        <f t="shared" si="123"/>
        <v>1</v>
      </c>
      <c r="AD264" s="126"/>
      <c r="AE264" s="1690">
        <f>+SUM(AD264:AD268)</f>
        <v>0</v>
      </c>
      <c r="AF264" s="125">
        <f>+AD264/Y264</f>
        <v>0</v>
      </c>
      <c r="AG264" s="126"/>
      <c r="AH264" s="1686">
        <f>+SUM(AG264:AG268)</f>
        <v>0</v>
      </c>
      <c r="AI264" s="125">
        <f>+AG264/Y264</f>
        <v>0</v>
      </c>
      <c r="AJ264" s="126"/>
      <c r="AK264" s="1686">
        <f>+SUM(AJ264:AJ268)</f>
        <v>0</v>
      </c>
      <c r="AL264" s="125">
        <f>+AJ264/Y264</f>
        <v>0</v>
      </c>
      <c r="AM264" s="126"/>
      <c r="AN264" s="2183">
        <f>+SUM(AM264:AM268)</f>
        <v>0</v>
      </c>
      <c r="AO264" s="1693"/>
      <c r="AP264" s="1005">
        <f t="shared" si="121"/>
        <v>472000000</v>
      </c>
      <c r="AQ264" s="287" t="str">
        <f t="shared" si="122"/>
        <v>Bien</v>
      </c>
      <c r="AR264" s="1150" t="s">
        <v>1231</v>
      </c>
      <c r="AS264" s="18"/>
    </row>
    <row r="265" spans="1:45" ht="54.75" customHeight="1" x14ac:dyDescent="0.25">
      <c r="A265" s="2174"/>
      <c r="B265" s="1642"/>
      <c r="C265" s="2185">
        <v>4301</v>
      </c>
      <c r="D265" s="2185" t="s">
        <v>1084</v>
      </c>
      <c r="E265" s="2155"/>
      <c r="F265" s="2156"/>
      <c r="G265" s="2158"/>
      <c r="H265" s="2159"/>
      <c r="I265" s="2160"/>
      <c r="J265" s="2161"/>
      <c r="K265" s="227" t="s">
        <v>1153</v>
      </c>
      <c r="L265" s="229" t="s">
        <v>1034</v>
      </c>
      <c r="M265" s="229" t="s">
        <v>107</v>
      </c>
      <c r="N265" s="229">
        <v>29</v>
      </c>
      <c r="O265" s="936"/>
      <c r="P265" s="976">
        <v>10</v>
      </c>
      <c r="Q265" s="929">
        <v>10</v>
      </c>
      <c r="R265" s="925">
        <v>9</v>
      </c>
      <c r="S265" s="925"/>
      <c r="T265" s="512"/>
      <c r="U265" s="926"/>
      <c r="V265" s="926">
        <v>560000000</v>
      </c>
      <c r="W265" s="926">
        <v>560000000</v>
      </c>
      <c r="X265" s="926">
        <v>280000000</v>
      </c>
      <c r="Y265" s="926">
        <f t="shared" si="126"/>
        <v>1400000000</v>
      </c>
      <c r="Z265" s="1655"/>
      <c r="AA265" s="927">
        <f t="shared" si="127"/>
        <v>1400000000</v>
      </c>
      <c r="AB265" s="1658"/>
      <c r="AC265" s="125"/>
      <c r="AD265" s="126"/>
      <c r="AE265" s="1658"/>
      <c r="AF265" s="125"/>
      <c r="AG265" s="126"/>
      <c r="AH265" s="1655"/>
      <c r="AI265" s="125"/>
      <c r="AJ265" s="126"/>
      <c r="AK265" s="1655"/>
      <c r="AL265" s="125"/>
      <c r="AM265" s="126"/>
      <c r="AN265" s="2178"/>
      <c r="AO265" s="1693"/>
      <c r="AP265" s="1005">
        <f t="shared" si="121"/>
        <v>1400000000</v>
      </c>
      <c r="AQ265" s="287" t="str">
        <f t="shared" si="122"/>
        <v>Bien</v>
      </c>
      <c r="AR265" s="1150" t="s">
        <v>1231</v>
      </c>
      <c r="AS265" s="18"/>
    </row>
    <row r="266" spans="1:45" ht="72" customHeight="1" x14ac:dyDescent="0.25">
      <c r="A266" s="2174"/>
      <c r="B266" s="1642"/>
      <c r="C266" s="2185"/>
      <c r="D266" s="2185"/>
      <c r="E266" s="2155"/>
      <c r="F266" s="2156"/>
      <c r="G266" s="2158"/>
      <c r="H266" s="2159"/>
      <c r="I266" s="2160"/>
      <c r="J266" s="2161"/>
      <c r="K266" s="227" t="s">
        <v>1074</v>
      </c>
      <c r="L266" s="229" t="s">
        <v>696</v>
      </c>
      <c r="M266" s="229">
        <v>0</v>
      </c>
      <c r="N266" s="229">
        <v>5</v>
      </c>
      <c r="O266" s="229"/>
      <c r="P266" s="229">
        <v>3</v>
      </c>
      <c r="Q266" s="229">
        <v>2</v>
      </c>
      <c r="R266" s="229"/>
      <c r="S266" s="925"/>
      <c r="T266" s="512"/>
      <c r="U266" s="926"/>
      <c r="V266" s="926">
        <v>400000000</v>
      </c>
      <c r="W266" s="926">
        <v>200000000</v>
      </c>
      <c r="X266" s="926"/>
      <c r="Y266" s="926">
        <f t="shared" si="126"/>
        <v>600000000</v>
      </c>
      <c r="Z266" s="1655"/>
      <c r="AA266" s="927">
        <f t="shared" si="127"/>
        <v>600000000</v>
      </c>
      <c r="AB266" s="1658"/>
      <c r="AC266" s="125"/>
      <c r="AD266" s="126"/>
      <c r="AE266" s="1658"/>
      <c r="AF266" s="125"/>
      <c r="AG266" s="126"/>
      <c r="AH266" s="1655"/>
      <c r="AI266" s="125"/>
      <c r="AJ266" s="126"/>
      <c r="AK266" s="1655"/>
      <c r="AL266" s="125"/>
      <c r="AM266" s="126"/>
      <c r="AN266" s="2178"/>
      <c r="AO266" s="1693"/>
      <c r="AP266" s="1005">
        <f t="shared" si="121"/>
        <v>600000000</v>
      </c>
      <c r="AQ266" s="287" t="str">
        <f t="shared" si="122"/>
        <v>Bien</v>
      </c>
      <c r="AR266" s="1150" t="s">
        <v>1231</v>
      </c>
      <c r="AS266" s="18"/>
    </row>
    <row r="267" spans="1:45" ht="54.75" customHeight="1" x14ac:dyDescent="0.25">
      <c r="A267" s="2174"/>
      <c r="B267" s="1642"/>
      <c r="C267" s="1123">
        <v>3602</v>
      </c>
      <c r="D267" s="1123" t="s">
        <v>1105</v>
      </c>
      <c r="E267" s="2155"/>
      <c r="F267" s="2156"/>
      <c r="G267" s="2158"/>
      <c r="H267" s="2159"/>
      <c r="I267" s="2160"/>
      <c r="J267" s="2161"/>
      <c r="K267" s="227" t="s">
        <v>1035</v>
      </c>
      <c r="L267" s="229" t="s">
        <v>660</v>
      </c>
      <c r="M267" s="230">
        <v>0</v>
      </c>
      <c r="N267" s="230">
        <v>1</v>
      </c>
      <c r="O267" s="922">
        <v>0.3</v>
      </c>
      <c r="P267" s="922">
        <v>0.7</v>
      </c>
      <c r="Q267" s="929"/>
      <c r="R267" s="925"/>
      <c r="S267" s="925"/>
      <c r="T267" s="512"/>
      <c r="U267" s="926">
        <v>45000000</v>
      </c>
      <c r="V267" s="926">
        <v>105000000</v>
      </c>
      <c r="W267" s="926"/>
      <c r="X267" s="926"/>
      <c r="Y267" s="926">
        <f t="shared" si="126"/>
        <v>150000000</v>
      </c>
      <c r="Z267" s="1655"/>
      <c r="AA267" s="927">
        <f>+Y267</f>
        <v>150000000</v>
      </c>
      <c r="AB267" s="1658"/>
      <c r="AC267" s="125"/>
      <c r="AD267" s="126"/>
      <c r="AE267" s="1658"/>
      <c r="AF267" s="125"/>
      <c r="AG267" s="126"/>
      <c r="AH267" s="1655"/>
      <c r="AI267" s="125"/>
      <c r="AJ267" s="126"/>
      <c r="AK267" s="1655"/>
      <c r="AL267" s="125"/>
      <c r="AM267" s="126"/>
      <c r="AN267" s="2178"/>
      <c r="AO267" s="1693"/>
      <c r="AP267" s="1005">
        <f t="shared" si="121"/>
        <v>150000000</v>
      </c>
      <c r="AQ267" s="287" t="str">
        <f t="shared" si="122"/>
        <v>Bien</v>
      </c>
      <c r="AR267" s="1150" t="s">
        <v>1231</v>
      </c>
      <c r="AS267" s="18"/>
    </row>
    <row r="268" spans="1:45" ht="69.75" customHeight="1" x14ac:dyDescent="0.25">
      <c r="A268" s="2174"/>
      <c r="B268" s="1642"/>
      <c r="C268" s="1123">
        <v>1905</v>
      </c>
      <c r="D268" s="1123" t="s">
        <v>1082</v>
      </c>
      <c r="E268" s="2155"/>
      <c r="F268" s="2157"/>
      <c r="G268" s="2158"/>
      <c r="H268" s="2159"/>
      <c r="I268" s="2160"/>
      <c r="J268" s="2161"/>
      <c r="K268" s="227" t="s">
        <v>1036</v>
      </c>
      <c r="L268" s="229" t="s">
        <v>981</v>
      </c>
      <c r="M268" s="229">
        <v>0</v>
      </c>
      <c r="N268" s="968">
        <v>1</v>
      </c>
      <c r="O268" s="969">
        <v>0.15</v>
      </c>
      <c r="P268" s="969">
        <v>0.85</v>
      </c>
      <c r="Q268" s="227">
        <v>0</v>
      </c>
      <c r="R268" s="227">
        <v>0</v>
      </c>
      <c r="S268" s="227">
        <v>0</v>
      </c>
      <c r="T268" s="227"/>
      <c r="U268" s="926">
        <v>400000000</v>
      </c>
      <c r="V268" s="926">
        <v>2400000000</v>
      </c>
      <c r="W268" s="926"/>
      <c r="X268" s="227"/>
      <c r="Y268" s="926">
        <f t="shared" si="126"/>
        <v>2800000000</v>
      </c>
      <c r="Z268" s="1656"/>
      <c r="AA268" s="927">
        <f>Y268</f>
        <v>2800000000</v>
      </c>
      <c r="AB268" s="1659"/>
      <c r="AC268" s="125"/>
      <c r="AD268" s="126"/>
      <c r="AE268" s="1659"/>
      <c r="AF268" s="125"/>
      <c r="AG268" s="126"/>
      <c r="AH268" s="1656"/>
      <c r="AI268" s="125"/>
      <c r="AJ268" s="126"/>
      <c r="AK268" s="1656"/>
      <c r="AL268" s="125"/>
      <c r="AM268" s="126"/>
      <c r="AN268" s="2179"/>
      <c r="AO268" s="1693"/>
      <c r="AP268" s="1005">
        <f t="shared" si="121"/>
        <v>2800000000</v>
      </c>
      <c r="AQ268" s="287" t="str">
        <f t="shared" si="122"/>
        <v>Bien</v>
      </c>
      <c r="AR268" s="1150" t="s">
        <v>1231</v>
      </c>
      <c r="AS268" s="18"/>
    </row>
    <row r="269" spans="1:45" ht="51.75" customHeight="1" x14ac:dyDescent="0.25">
      <c r="A269" s="2174"/>
      <c r="B269" s="1642"/>
      <c r="C269" s="2185">
        <v>4103</v>
      </c>
      <c r="D269" s="2185" t="s">
        <v>1090</v>
      </c>
      <c r="E269" s="2162" t="s">
        <v>402</v>
      </c>
      <c r="F269" s="2148" t="s">
        <v>403</v>
      </c>
      <c r="G269" s="1663" t="s">
        <v>404</v>
      </c>
      <c r="H269" s="1663">
        <v>0</v>
      </c>
      <c r="I269" s="1664">
        <v>2</v>
      </c>
      <c r="J269" s="919" t="s">
        <v>1038</v>
      </c>
      <c r="K269" s="919" t="s">
        <v>1039</v>
      </c>
      <c r="L269" s="228" t="s">
        <v>193</v>
      </c>
      <c r="M269" s="229">
        <v>0</v>
      </c>
      <c r="N269" s="229">
        <v>2</v>
      </c>
      <c r="O269" s="229"/>
      <c r="P269" s="970"/>
      <c r="Q269" s="970">
        <v>1</v>
      </c>
      <c r="R269" s="925">
        <v>1</v>
      </c>
      <c r="S269" s="925"/>
      <c r="T269" s="512"/>
      <c r="U269" s="926"/>
      <c r="V269" s="926"/>
      <c r="W269" s="926">
        <v>3500000000</v>
      </c>
      <c r="X269" s="926">
        <v>3500000000</v>
      </c>
      <c r="Y269" s="926">
        <f t="shared" si="126"/>
        <v>7000000000</v>
      </c>
      <c r="Z269" s="1686">
        <f>+SUM(Y269:Y270)</f>
        <v>13000000000</v>
      </c>
      <c r="AA269" s="927"/>
      <c r="AB269" s="1690">
        <f>+SUM(AA269:AA270)</f>
        <v>6000000000</v>
      </c>
      <c r="AC269" s="125">
        <f t="shared" si="123"/>
        <v>0</v>
      </c>
      <c r="AD269" s="126"/>
      <c r="AE269" s="1690">
        <f>+SUM(AD269:AD270)</f>
        <v>0</v>
      </c>
      <c r="AF269" s="125">
        <f t="shared" ref="AF269:AF270" si="128">+AD269/Y269</f>
        <v>0</v>
      </c>
      <c r="AG269" s="126"/>
      <c r="AH269" s="1686">
        <f>+SUM(AG269:AG270)</f>
        <v>0</v>
      </c>
      <c r="AI269" s="125">
        <f t="shared" ref="AI269:AI270" si="129">+AG269/Y269</f>
        <v>0</v>
      </c>
      <c r="AJ269" s="126"/>
      <c r="AK269" s="1686">
        <f>+SUM(AJ269:AJ270)</f>
        <v>0</v>
      </c>
      <c r="AL269" s="125">
        <f t="shared" ref="AL269:AL270" si="130">+AJ269/Y269</f>
        <v>0</v>
      </c>
      <c r="AM269" s="126">
        <f>+Y269</f>
        <v>7000000000</v>
      </c>
      <c r="AN269" s="2180">
        <f>+SUM(AM269:AM270)</f>
        <v>7000000000</v>
      </c>
      <c r="AO269" s="2163"/>
      <c r="AP269" s="1005">
        <f t="shared" si="121"/>
        <v>7000000000</v>
      </c>
      <c r="AQ269" s="287" t="str">
        <f t="shared" si="122"/>
        <v>Bien</v>
      </c>
      <c r="AR269" s="1150" t="s">
        <v>1232</v>
      </c>
      <c r="AS269" s="324"/>
    </row>
    <row r="270" spans="1:45" ht="96" customHeight="1" thickBot="1" x14ac:dyDescent="0.3">
      <c r="A270" s="2174"/>
      <c r="B270" s="1643"/>
      <c r="C270" s="2185"/>
      <c r="D270" s="2185"/>
      <c r="E270" s="1752"/>
      <c r="F270" s="1754"/>
      <c r="G270" s="1649"/>
      <c r="H270" s="1649"/>
      <c r="I270" s="1665"/>
      <c r="J270" s="919" t="s">
        <v>405</v>
      </c>
      <c r="K270" s="229" t="s">
        <v>571</v>
      </c>
      <c r="L270" s="229" t="s">
        <v>661</v>
      </c>
      <c r="M270" s="229">
        <v>0</v>
      </c>
      <c r="N270" s="229">
        <v>16</v>
      </c>
      <c r="O270" s="929"/>
      <c r="P270" s="929">
        <v>5</v>
      </c>
      <c r="Q270" s="929">
        <v>5</v>
      </c>
      <c r="R270" s="925">
        <v>6</v>
      </c>
      <c r="S270" s="925">
        <v>4</v>
      </c>
      <c r="T270" s="512"/>
      <c r="U270" s="926"/>
      <c r="V270" s="926">
        <v>2000000000</v>
      </c>
      <c r="W270" s="926">
        <v>2000000000</v>
      </c>
      <c r="X270" s="926">
        <v>2000000000</v>
      </c>
      <c r="Y270" s="926">
        <f>+U270+V270+W270+X270</f>
        <v>6000000000</v>
      </c>
      <c r="Z270" s="2176"/>
      <c r="AA270" s="927">
        <f>+Y270</f>
        <v>6000000000</v>
      </c>
      <c r="AB270" s="2165"/>
      <c r="AC270" s="125">
        <f t="shared" si="123"/>
        <v>1</v>
      </c>
      <c r="AD270" s="126"/>
      <c r="AE270" s="2165"/>
      <c r="AF270" s="125">
        <f t="shared" si="128"/>
        <v>0</v>
      </c>
      <c r="AG270" s="126"/>
      <c r="AH270" s="2176"/>
      <c r="AI270" s="125">
        <f t="shared" si="129"/>
        <v>0</v>
      </c>
      <c r="AJ270" s="126"/>
      <c r="AK270" s="2176"/>
      <c r="AL270" s="125">
        <f t="shared" si="130"/>
        <v>0</v>
      </c>
      <c r="AM270" s="126"/>
      <c r="AN270" s="2184"/>
      <c r="AO270" s="2164"/>
      <c r="AP270" s="1005">
        <f t="shared" si="121"/>
        <v>6000000000</v>
      </c>
      <c r="AQ270" s="287" t="str">
        <f t="shared" si="122"/>
        <v>Bien</v>
      </c>
      <c r="AR270" s="1150" t="s">
        <v>1232</v>
      </c>
      <c r="AS270" s="18"/>
    </row>
    <row r="271" spans="1:45" ht="51" x14ac:dyDescent="0.25">
      <c r="A271" s="2174"/>
      <c r="B271" s="1641" t="s">
        <v>406</v>
      </c>
      <c r="C271" s="1771">
        <v>2409</v>
      </c>
      <c r="D271" s="1771" t="s">
        <v>1102</v>
      </c>
      <c r="E271" s="1644" t="s">
        <v>843</v>
      </c>
      <c r="F271" s="1138" t="s">
        <v>407</v>
      </c>
      <c r="G271" s="596" t="s">
        <v>844</v>
      </c>
      <c r="H271" s="596">
        <v>322</v>
      </c>
      <c r="I271" s="596">
        <v>250</v>
      </c>
      <c r="J271" s="597" t="s">
        <v>846</v>
      </c>
      <c r="K271" s="598" t="s">
        <v>1154</v>
      </c>
      <c r="L271" s="599" t="s">
        <v>39</v>
      </c>
      <c r="M271" s="600">
        <v>0</v>
      </c>
      <c r="N271" s="600">
        <v>0.9</v>
      </c>
      <c r="O271" s="601">
        <v>0.22500000000000001</v>
      </c>
      <c r="P271" s="602">
        <v>0.22500000000000001</v>
      </c>
      <c r="Q271" s="602">
        <v>0.22500000000000001</v>
      </c>
      <c r="R271" s="603">
        <v>0.22500000000000001</v>
      </c>
      <c r="S271" s="524"/>
      <c r="T271" s="604">
        <f t="shared" ref="T271:T273" si="131">+SUM(O271:R271)</f>
        <v>0.9</v>
      </c>
      <c r="U271" s="438">
        <v>5265611372</v>
      </c>
      <c r="V271" s="438">
        <v>5423579713.1599998</v>
      </c>
      <c r="W271" s="438">
        <v>5586287104.5547991</v>
      </c>
      <c r="X271" s="438">
        <v>5753875717.6914434</v>
      </c>
      <c r="Y271" s="525">
        <f>+U271+V271+W271+X271</f>
        <v>22029353907.406242</v>
      </c>
      <c r="Z271" s="1636">
        <f>+SUM(Y271:Y273)</f>
        <v>34347490935.045033</v>
      </c>
      <c r="AA271" s="438">
        <f>+Y271</f>
        <v>22029353907.406242</v>
      </c>
      <c r="AB271" s="1647">
        <f>+SUM(AA271:AA273)</f>
        <v>34347490935.045033</v>
      </c>
      <c r="AC271" s="526">
        <f t="shared" ref="AC271:AC272" si="132">+AA271/Y271</f>
        <v>1</v>
      </c>
      <c r="AD271" s="439"/>
      <c r="AE271" s="1647">
        <f>+SUM(AD271:AD273)</f>
        <v>0</v>
      </c>
      <c r="AF271" s="526">
        <f t="shared" ref="AF271:AF312" si="133">+AD271/Y271</f>
        <v>0</v>
      </c>
      <c r="AG271" s="439"/>
      <c r="AH271" s="1636">
        <f>+SUM(AG271:AG273)</f>
        <v>0</v>
      </c>
      <c r="AI271" s="526">
        <f t="shared" ref="AI271:AI312" si="134">+AG271/Y271</f>
        <v>0</v>
      </c>
      <c r="AJ271" s="439"/>
      <c r="AK271" s="1636">
        <f>+SUM(AJ271:AJ273)</f>
        <v>0</v>
      </c>
      <c r="AL271" s="526">
        <f t="shared" ref="AL271:AL312" si="135">+AJ271/Y271</f>
        <v>0</v>
      </c>
      <c r="AM271" s="439"/>
      <c r="AN271" s="1636">
        <f>+SUM(AM271:AM273)</f>
        <v>0</v>
      </c>
      <c r="AO271" s="150">
        <f t="shared" ref="AO271:AO322" si="136">+AM271/Y271</f>
        <v>0</v>
      </c>
      <c r="AP271" s="1007">
        <f t="shared" ref="AP271:AP315" si="137">+AA271+AD271+AG271+AJ271+AM271</f>
        <v>22029353907.406242</v>
      </c>
      <c r="AQ271" s="18" t="str">
        <f t="shared" ref="AQ271:AQ307" si="138">+IF(Y271=AP271,"Bien","Error")</f>
        <v>Bien</v>
      </c>
      <c r="AR271" s="1150" t="s">
        <v>1233</v>
      </c>
    </row>
    <row r="272" spans="1:45" ht="25.5" x14ac:dyDescent="0.25">
      <c r="A272" s="2174"/>
      <c r="B272" s="1642"/>
      <c r="C272" s="1771"/>
      <c r="D272" s="1771"/>
      <c r="E272" s="1645"/>
      <c r="F272" s="1639" t="s">
        <v>408</v>
      </c>
      <c r="G272" s="1640" t="s">
        <v>845</v>
      </c>
      <c r="H272" s="1640">
        <v>37</v>
      </c>
      <c r="I272" s="1640">
        <v>25</v>
      </c>
      <c r="J272" s="1169" t="s">
        <v>847</v>
      </c>
      <c r="K272" s="598" t="s">
        <v>848</v>
      </c>
      <c r="L272" s="599" t="s">
        <v>39</v>
      </c>
      <c r="M272" s="600" t="s">
        <v>107</v>
      </c>
      <c r="N272" s="600">
        <v>0.08</v>
      </c>
      <c r="O272" s="605">
        <v>0.02</v>
      </c>
      <c r="P272" s="606">
        <v>0.02</v>
      </c>
      <c r="Q272" s="606">
        <v>0.02</v>
      </c>
      <c r="R272" s="606">
        <v>0.02</v>
      </c>
      <c r="S272" s="524"/>
      <c r="T272" s="607">
        <f t="shared" si="131"/>
        <v>0.08</v>
      </c>
      <c r="U272" s="438">
        <v>2221025856</v>
      </c>
      <c r="V272" s="438">
        <v>2287656631.6799998</v>
      </c>
      <c r="W272" s="438">
        <v>2356286330.6303997</v>
      </c>
      <c r="X272" s="438">
        <v>2426974920.5493121</v>
      </c>
      <c r="Y272" s="525">
        <f>+U272+V272+W272+X272</f>
        <v>9291943738.8597126</v>
      </c>
      <c r="Z272" s="1637"/>
      <c r="AA272" s="438">
        <f>+Y272</f>
        <v>9291943738.8597126</v>
      </c>
      <c r="AB272" s="1481"/>
      <c r="AC272" s="526">
        <f t="shared" si="132"/>
        <v>1</v>
      </c>
      <c r="AD272" s="439"/>
      <c r="AE272" s="1481"/>
      <c r="AF272" s="526">
        <f t="shared" si="133"/>
        <v>0</v>
      </c>
      <c r="AG272" s="439"/>
      <c r="AH272" s="1637"/>
      <c r="AI272" s="526">
        <f t="shared" si="134"/>
        <v>0</v>
      </c>
      <c r="AJ272" s="439"/>
      <c r="AK272" s="1637"/>
      <c r="AL272" s="526">
        <f t="shared" si="135"/>
        <v>0</v>
      </c>
      <c r="AM272" s="439"/>
      <c r="AN272" s="1637"/>
      <c r="AO272" s="150">
        <f t="shared" si="136"/>
        <v>0</v>
      </c>
      <c r="AP272" s="1007">
        <f t="shared" si="137"/>
        <v>9291943738.8597126</v>
      </c>
      <c r="AQ272" s="18" t="str">
        <f t="shared" si="138"/>
        <v>Bien</v>
      </c>
      <c r="AR272" s="1156" t="s">
        <v>1233</v>
      </c>
    </row>
    <row r="273" spans="1:44" ht="56.25" customHeight="1" thickBot="1" x14ac:dyDescent="0.3">
      <c r="A273" s="2174"/>
      <c r="B273" s="1643"/>
      <c r="C273" s="1771"/>
      <c r="D273" s="1771"/>
      <c r="E273" s="1646"/>
      <c r="F273" s="1639"/>
      <c r="G273" s="1640"/>
      <c r="H273" s="1640"/>
      <c r="I273" s="1640"/>
      <c r="J273" s="437" t="s">
        <v>850</v>
      </c>
      <c r="K273" s="437" t="s">
        <v>851</v>
      </c>
      <c r="L273" s="599" t="s">
        <v>39</v>
      </c>
      <c r="M273" s="600">
        <v>0</v>
      </c>
      <c r="N273" s="600">
        <v>0.9</v>
      </c>
      <c r="O273" s="601">
        <v>0.22500000000000001</v>
      </c>
      <c r="P273" s="602">
        <v>0.22500000000000001</v>
      </c>
      <c r="Q273" s="602">
        <v>0.22500000000000001</v>
      </c>
      <c r="R273" s="603">
        <v>0.22500000000000001</v>
      </c>
      <c r="S273" s="524"/>
      <c r="T273" s="608">
        <f t="shared" si="131"/>
        <v>0.9</v>
      </c>
      <c r="U273" s="438">
        <v>723342040</v>
      </c>
      <c r="V273" s="438">
        <v>745042301.20000005</v>
      </c>
      <c r="W273" s="438">
        <v>767393570.23600006</v>
      </c>
      <c r="X273" s="438">
        <v>790415377.34308004</v>
      </c>
      <c r="Y273" s="525">
        <f>+U273+V273+W273+X273</f>
        <v>3026193288.7790799</v>
      </c>
      <c r="Z273" s="1638"/>
      <c r="AA273" s="438">
        <f>+Y273</f>
        <v>3026193288.7790799</v>
      </c>
      <c r="AB273" s="1472"/>
      <c r="AC273" s="526">
        <f t="shared" ref="AC273:AC341" si="139">+AA273/Y273</f>
        <v>1</v>
      </c>
      <c r="AD273" s="439"/>
      <c r="AE273" s="1472"/>
      <c r="AF273" s="526">
        <f t="shared" si="133"/>
        <v>0</v>
      </c>
      <c r="AG273" s="439"/>
      <c r="AH273" s="1638"/>
      <c r="AI273" s="526">
        <f t="shared" si="134"/>
        <v>0</v>
      </c>
      <c r="AJ273" s="439"/>
      <c r="AK273" s="1638"/>
      <c r="AL273" s="526">
        <f t="shared" si="135"/>
        <v>0</v>
      </c>
      <c r="AM273" s="439"/>
      <c r="AN273" s="1638"/>
      <c r="AO273" s="150">
        <f t="shared" si="136"/>
        <v>0</v>
      </c>
      <c r="AP273" s="1007">
        <f t="shared" si="137"/>
        <v>3026193288.7790799</v>
      </c>
      <c r="AQ273" s="18" t="str">
        <f t="shared" si="138"/>
        <v>Bien</v>
      </c>
      <c r="AR273" s="1150" t="s">
        <v>1233</v>
      </c>
    </row>
    <row r="274" spans="1:44" ht="34.5" customHeight="1" x14ac:dyDescent="0.25">
      <c r="A274" s="2174"/>
      <c r="B274" s="1715" t="s">
        <v>409</v>
      </c>
      <c r="C274" s="1771">
        <v>2407</v>
      </c>
      <c r="D274" s="1771" t="s">
        <v>1103</v>
      </c>
      <c r="E274" s="1716" t="s">
        <v>410</v>
      </c>
      <c r="F274" s="1719" t="s">
        <v>411</v>
      </c>
      <c r="G274" s="1722" t="s">
        <v>39</v>
      </c>
      <c r="H274" s="1725">
        <v>0</v>
      </c>
      <c r="I274" s="1725">
        <v>0.9</v>
      </c>
      <c r="J274" s="1709" t="s">
        <v>412</v>
      </c>
      <c r="K274" s="256" t="s">
        <v>413</v>
      </c>
      <c r="L274" s="254" t="s">
        <v>39</v>
      </c>
      <c r="M274" s="255">
        <v>0</v>
      </c>
      <c r="N274" s="255">
        <v>1</v>
      </c>
      <c r="O274" s="153">
        <v>0.1</v>
      </c>
      <c r="P274" s="153">
        <v>0.3</v>
      </c>
      <c r="Q274" s="153">
        <v>0.3</v>
      </c>
      <c r="R274" s="153">
        <v>0.3</v>
      </c>
      <c r="S274" s="154"/>
      <c r="T274" s="152">
        <f>+SUM(O274:R274)</f>
        <v>1</v>
      </c>
      <c r="U274" s="155">
        <v>1590981840</v>
      </c>
      <c r="V274" s="155">
        <v>8517845525.9996996</v>
      </c>
      <c r="W274" s="155">
        <v>16448488918.997799</v>
      </c>
      <c r="X274" s="155">
        <v>18488382147.006199</v>
      </c>
      <c r="Y274" s="156">
        <f>+SUM(U274:X274)</f>
        <v>45045698432.003693</v>
      </c>
      <c r="Z274" s="1694">
        <f>+SUM(Y274:Y278)</f>
        <v>135053873599.01639</v>
      </c>
      <c r="AA274" s="155">
        <v>0</v>
      </c>
      <c r="AB274" s="1712">
        <f>+SUM(AA274:AA278)</f>
        <v>6870698553.0500002</v>
      </c>
      <c r="AC274" s="157">
        <f>+AA274/Y274</f>
        <v>0</v>
      </c>
      <c r="AD274" s="155">
        <v>0</v>
      </c>
      <c r="AE274" s="1712">
        <f>+SUM(AD274:AD278)</f>
        <v>0</v>
      </c>
      <c r="AF274" s="157">
        <f>+AD274/Y274</f>
        <v>0</v>
      </c>
      <c r="AG274" s="155">
        <v>0</v>
      </c>
      <c r="AH274" s="1694">
        <f>+SUM(AG274:AG278)</f>
        <v>0</v>
      </c>
      <c r="AI274" s="157">
        <f>+AG274/Y274</f>
        <v>0</v>
      </c>
      <c r="AJ274" s="155">
        <f>+Y274</f>
        <v>45045698432.003693</v>
      </c>
      <c r="AK274" s="1694">
        <f>+SUM(AJ274:AJ278)</f>
        <v>128183175045.9664</v>
      </c>
      <c r="AL274" s="157">
        <f>+AJ274/Y274</f>
        <v>1</v>
      </c>
      <c r="AM274" s="158">
        <v>0</v>
      </c>
      <c r="AN274" s="1694">
        <f>+SUM(AM274:AM278)</f>
        <v>0</v>
      </c>
      <c r="AO274" s="157">
        <f>+AM274/Y274</f>
        <v>0</v>
      </c>
      <c r="AP274" s="1007">
        <f>+AA274+AD274+AG274+AJ274+AM274</f>
        <v>45045698432.003693</v>
      </c>
      <c r="AQ274" s="18" t="str">
        <f>+IF(Y274=AP274,"Bien","Error")</f>
        <v>Bien</v>
      </c>
      <c r="AR274" s="1150" t="s">
        <v>1234</v>
      </c>
    </row>
    <row r="275" spans="1:44" ht="63" customHeight="1" x14ac:dyDescent="0.25">
      <c r="A275" s="2174"/>
      <c r="B275" s="1642"/>
      <c r="C275" s="1771"/>
      <c r="D275" s="1771"/>
      <c r="E275" s="1717"/>
      <c r="F275" s="1720"/>
      <c r="G275" s="1723"/>
      <c r="H275" s="1723"/>
      <c r="I275" s="1723"/>
      <c r="J275" s="1710"/>
      <c r="K275" s="257" t="s">
        <v>414</v>
      </c>
      <c r="L275" s="151" t="s">
        <v>415</v>
      </c>
      <c r="M275" s="159">
        <v>2</v>
      </c>
      <c r="N275" s="159">
        <v>8</v>
      </c>
      <c r="O275" s="160">
        <v>2</v>
      </c>
      <c r="P275" s="161">
        <v>3</v>
      </c>
      <c r="Q275" s="161">
        <v>3</v>
      </c>
      <c r="R275" s="161">
        <v>1</v>
      </c>
      <c r="S275" s="154"/>
      <c r="T275" s="162">
        <f>+SUM(O275:R275)</f>
        <v>9</v>
      </c>
      <c r="U275" s="155">
        <v>1619011340.9663999</v>
      </c>
      <c r="V275" s="155">
        <v>2255608900.2523999</v>
      </c>
      <c r="W275" s="155">
        <v>2611344780.7227001</v>
      </c>
      <c r="X275" s="155">
        <v>870117844.68400002</v>
      </c>
      <c r="Y275" s="156">
        <f>+SUM(U275:X275)</f>
        <v>7356082866.6254997</v>
      </c>
      <c r="Z275" s="1695"/>
      <c r="AA275" s="155">
        <v>0</v>
      </c>
      <c r="AB275" s="1713"/>
      <c r="AC275" s="157">
        <f>+AA275/Y275</f>
        <v>0</v>
      </c>
      <c r="AD275" s="155">
        <v>0</v>
      </c>
      <c r="AE275" s="1713"/>
      <c r="AF275" s="157">
        <f>+AD275/Y275</f>
        <v>0</v>
      </c>
      <c r="AG275" s="155">
        <v>0</v>
      </c>
      <c r="AH275" s="1695"/>
      <c r="AI275" s="157">
        <f>+AG275/Y275</f>
        <v>0</v>
      </c>
      <c r="AJ275" s="155">
        <f>+Y275</f>
        <v>7356082866.6254997</v>
      </c>
      <c r="AK275" s="1695"/>
      <c r="AL275" s="157">
        <f>+AJ275/Y275</f>
        <v>1</v>
      </c>
      <c r="AM275" s="158">
        <v>0</v>
      </c>
      <c r="AN275" s="1695"/>
      <c r="AO275" s="157">
        <f>+AM275/Y275</f>
        <v>0</v>
      </c>
      <c r="AP275" s="1007">
        <f>+AA275+AD275+AG275+AJ275+AM275</f>
        <v>7356082866.6254997</v>
      </c>
      <c r="AQ275" s="18" t="str">
        <f>+IF(Y275=AP275,"Bien","Error")</f>
        <v>Bien</v>
      </c>
      <c r="AR275" s="1150" t="s">
        <v>1234</v>
      </c>
    </row>
    <row r="276" spans="1:44" ht="63.75" x14ac:dyDescent="0.25">
      <c r="A276" s="2174"/>
      <c r="B276" s="1642"/>
      <c r="C276" s="1771"/>
      <c r="D276" s="1771"/>
      <c r="E276" s="1717"/>
      <c r="F276" s="1720"/>
      <c r="G276" s="1723"/>
      <c r="H276" s="1723"/>
      <c r="I276" s="1723"/>
      <c r="J276" s="1710"/>
      <c r="K276" s="257" t="s">
        <v>416</v>
      </c>
      <c r="L276" s="151" t="s">
        <v>417</v>
      </c>
      <c r="M276" s="159">
        <v>16</v>
      </c>
      <c r="N276" s="159">
        <v>27</v>
      </c>
      <c r="O276" s="161">
        <v>4</v>
      </c>
      <c r="P276" s="161">
        <v>3</v>
      </c>
      <c r="Q276" s="161">
        <v>3</v>
      </c>
      <c r="R276" s="161">
        <v>1</v>
      </c>
      <c r="S276" s="154"/>
      <c r="T276" s="159">
        <f>+SUM(O276:R276)</f>
        <v>11</v>
      </c>
      <c r="U276" s="155">
        <v>35705365570</v>
      </c>
      <c r="V276" s="155">
        <v>18138684953.747601</v>
      </c>
      <c r="W276" s="155">
        <v>9296292158.2772999</v>
      </c>
      <c r="X276" s="155">
        <v>1211503793.316</v>
      </c>
      <c r="Y276" s="156">
        <f>+SUM(U276:X276)</f>
        <v>64351846475.340904</v>
      </c>
      <c r="Z276" s="1695"/>
      <c r="AA276" s="155">
        <v>0</v>
      </c>
      <c r="AB276" s="1713"/>
      <c r="AC276" s="157">
        <f>+AA276/Y276</f>
        <v>0</v>
      </c>
      <c r="AD276" s="155">
        <v>0</v>
      </c>
      <c r="AE276" s="1713"/>
      <c r="AF276" s="157">
        <f>+AD276/Y276</f>
        <v>0</v>
      </c>
      <c r="AG276" s="155">
        <v>0</v>
      </c>
      <c r="AH276" s="1695"/>
      <c r="AI276" s="157">
        <f>+AG276/Y276</f>
        <v>0</v>
      </c>
      <c r="AJ276" s="155">
        <f>+Y276</f>
        <v>64351846475.340904</v>
      </c>
      <c r="AK276" s="1695"/>
      <c r="AL276" s="157">
        <f>+AJ276/Y276</f>
        <v>1</v>
      </c>
      <c r="AM276" s="158">
        <v>0</v>
      </c>
      <c r="AN276" s="1695"/>
      <c r="AO276" s="157">
        <f>+AM276/Y276</f>
        <v>0</v>
      </c>
      <c r="AP276" s="1007">
        <f>+AA276+AD276+AG276+AJ276+AM276</f>
        <v>64351846475.340904</v>
      </c>
      <c r="AQ276" s="18" t="str">
        <f>+IF(Y276=AP276,"Bien","Error")</f>
        <v>Bien</v>
      </c>
      <c r="AR276" s="1150" t="s">
        <v>1234</v>
      </c>
    </row>
    <row r="277" spans="1:44" ht="38.25" x14ac:dyDescent="0.25">
      <c r="A277" s="2174"/>
      <c r="B277" s="1642"/>
      <c r="C277" s="1771"/>
      <c r="D277" s="1771"/>
      <c r="E277" s="1717"/>
      <c r="F277" s="1720"/>
      <c r="G277" s="1723"/>
      <c r="H277" s="1723"/>
      <c r="I277" s="1723"/>
      <c r="J277" s="1710"/>
      <c r="K277" s="257" t="s">
        <v>418</v>
      </c>
      <c r="L277" s="151" t="s">
        <v>39</v>
      </c>
      <c r="M277" s="152">
        <v>0</v>
      </c>
      <c r="N277" s="152">
        <v>0.9</v>
      </c>
      <c r="O277" s="153">
        <v>0.2</v>
      </c>
      <c r="P277" s="153">
        <v>0.23</v>
      </c>
      <c r="Q277" s="153">
        <v>0.23</v>
      </c>
      <c r="R277" s="153">
        <v>0.23</v>
      </c>
      <c r="S277" s="154"/>
      <c r="T277" s="152">
        <f>+SUM(O277:R277)</f>
        <v>0.89</v>
      </c>
      <c r="U277" s="155">
        <v>4914352641.29</v>
      </c>
      <c r="V277" s="155">
        <v>3900036483.4603</v>
      </c>
      <c r="W277" s="155">
        <v>3943260196.3422003</v>
      </c>
      <c r="X277" s="155">
        <v>4089272503.9538002</v>
      </c>
      <c r="Y277" s="156">
        <f>+SUM(U277:X277)</f>
        <v>16846921825.046299</v>
      </c>
      <c r="Z277" s="1695"/>
      <c r="AA277" s="155">
        <v>6640698553.0500002</v>
      </c>
      <c r="AB277" s="1713"/>
      <c r="AC277" s="157">
        <f>+AA277/Y277</f>
        <v>0.39417874802370612</v>
      </c>
      <c r="AD277" s="155">
        <v>0</v>
      </c>
      <c r="AE277" s="1713"/>
      <c r="AF277" s="157">
        <f>+AD277/Y277</f>
        <v>0</v>
      </c>
      <c r="AG277" s="155">
        <v>0</v>
      </c>
      <c r="AH277" s="1695"/>
      <c r="AI277" s="157">
        <f>+AG277/Y277</f>
        <v>0</v>
      </c>
      <c r="AJ277" s="155">
        <f>+Y277-AA277</f>
        <v>10206223271.9963</v>
      </c>
      <c r="AK277" s="1695"/>
      <c r="AL277" s="157">
        <f>+AJ277/Y277</f>
        <v>0.605821251976294</v>
      </c>
      <c r="AM277" s="158">
        <v>0</v>
      </c>
      <c r="AN277" s="1695"/>
      <c r="AO277" s="157">
        <f>+AM277/Y277</f>
        <v>0</v>
      </c>
      <c r="AP277" s="1007">
        <f>+AA277+AD277+AG277+AJ277+AM277</f>
        <v>16846921825.046299</v>
      </c>
      <c r="AQ277" s="18" t="str">
        <f>+IF(Y277=AP277,"Bien","Error")</f>
        <v>Bien</v>
      </c>
      <c r="AR277" s="1150" t="s">
        <v>1234</v>
      </c>
    </row>
    <row r="278" spans="1:44" ht="52.5" thickBot="1" x14ac:dyDescent="0.3">
      <c r="A278" s="2175"/>
      <c r="B278" s="1643"/>
      <c r="C278" s="1771"/>
      <c r="D278" s="1771"/>
      <c r="E278" s="1718"/>
      <c r="F278" s="1721"/>
      <c r="G278" s="1724"/>
      <c r="H278" s="1724"/>
      <c r="I278" s="1724"/>
      <c r="J278" s="1711"/>
      <c r="K278" s="258" t="s">
        <v>1155</v>
      </c>
      <c r="L278" s="259" t="s">
        <v>39</v>
      </c>
      <c r="M278" s="260">
        <v>0</v>
      </c>
      <c r="N278" s="260">
        <v>0.9</v>
      </c>
      <c r="O278" s="153">
        <v>0.2</v>
      </c>
      <c r="P278" s="153">
        <v>0.23</v>
      </c>
      <c r="Q278" s="153">
        <v>0.23</v>
      </c>
      <c r="R278" s="153">
        <v>0.23</v>
      </c>
      <c r="S278" s="154"/>
      <c r="T278" s="152">
        <f>+SUM(O278:R278)</f>
        <v>0.89</v>
      </c>
      <c r="U278" s="155">
        <v>230000000</v>
      </c>
      <c r="V278" s="155">
        <v>373324000</v>
      </c>
      <c r="W278" s="155">
        <v>400000000</v>
      </c>
      <c r="X278" s="155">
        <v>450000000</v>
      </c>
      <c r="Y278" s="156">
        <f>+SUM(U278:X278)</f>
        <v>1453324000</v>
      </c>
      <c r="Z278" s="1696"/>
      <c r="AA278" s="155">
        <v>230000000</v>
      </c>
      <c r="AB278" s="1714"/>
      <c r="AC278" s="157">
        <f>+AA278/Y278</f>
        <v>0.15825789706906374</v>
      </c>
      <c r="AD278" s="155">
        <v>0</v>
      </c>
      <c r="AE278" s="1714"/>
      <c r="AF278" s="157">
        <f>+AD278/Y278</f>
        <v>0</v>
      </c>
      <c r="AG278" s="155">
        <v>0</v>
      </c>
      <c r="AH278" s="1696"/>
      <c r="AI278" s="157">
        <f>+AG278/Y278</f>
        <v>0</v>
      </c>
      <c r="AJ278" s="155">
        <f>+Y278-AA278</f>
        <v>1223324000</v>
      </c>
      <c r="AK278" s="1696"/>
      <c r="AL278" s="157">
        <f>+AJ278/Y278</f>
        <v>0.84174210293093621</v>
      </c>
      <c r="AM278" s="158">
        <v>0</v>
      </c>
      <c r="AN278" s="1696"/>
      <c r="AO278" s="157">
        <f>+AM278/Y278</f>
        <v>0</v>
      </c>
      <c r="AP278" s="1007">
        <f>+AA278+AD278+AG278+AJ278+AM278</f>
        <v>1453324000</v>
      </c>
      <c r="AQ278" s="18" t="str">
        <f>+IF(Y278=AP278,"Bien","Error")</f>
        <v>Bien</v>
      </c>
      <c r="AR278" s="1150" t="s">
        <v>1234</v>
      </c>
    </row>
    <row r="279" spans="1:44" ht="76.5" x14ac:dyDescent="0.25">
      <c r="A279" s="1697" t="s">
        <v>995</v>
      </c>
      <c r="B279" s="1881" t="s">
        <v>719</v>
      </c>
      <c r="C279" s="2215">
        <v>1702</v>
      </c>
      <c r="D279" s="2215" t="s">
        <v>1104</v>
      </c>
      <c r="E279" s="1866" t="s">
        <v>720</v>
      </c>
      <c r="F279" s="1700" t="s">
        <v>419</v>
      </c>
      <c r="G279" s="1703" t="s">
        <v>1030</v>
      </c>
      <c r="H279" s="1706">
        <v>2</v>
      </c>
      <c r="I279" s="1706">
        <v>20</v>
      </c>
      <c r="J279" s="1884" t="s">
        <v>420</v>
      </c>
      <c r="K279" s="858" t="s">
        <v>662</v>
      </c>
      <c r="L279" s="261" t="s">
        <v>421</v>
      </c>
      <c r="M279" s="261">
        <v>45</v>
      </c>
      <c r="N279" s="261">
        <v>60</v>
      </c>
      <c r="O279" s="478">
        <v>10</v>
      </c>
      <c r="P279" s="479">
        <v>15</v>
      </c>
      <c r="Q279" s="479">
        <v>15</v>
      </c>
      <c r="R279" s="479">
        <v>20</v>
      </c>
      <c r="S279" s="480"/>
      <c r="T279" s="481">
        <f t="shared" ref="T279:T285" si="140">+SUM(O279:R279)</f>
        <v>60</v>
      </c>
      <c r="U279" s="482">
        <v>80000000</v>
      </c>
      <c r="V279" s="482">
        <v>81000000</v>
      </c>
      <c r="W279" s="482">
        <v>82000000</v>
      </c>
      <c r="X279" s="482">
        <v>83000000</v>
      </c>
      <c r="Y279" s="483">
        <f t="shared" ref="Y279:Y297" si="141">+U279+V279+W279+X279</f>
        <v>326000000</v>
      </c>
      <c r="Z279" s="2199">
        <f>+SUM(Y279:Y287)</f>
        <v>1083181737</v>
      </c>
      <c r="AA279" s="482"/>
      <c r="AB279" s="2202">
        <f>+SUM(AA279:AA287)</f>
        <v>478000000</v>
      </c>
      <c r="AC279" s="484">
        <f t="shared" si="139"/>
        <v>0</v>
      </c>
      <c r="AD279" s="482">
        <v>326000000</v>
      </c>
      <c r="AE279" s="2202">
        <f>+SUM(AD279:AD287)</f>
        <v>605181737</v>
      </c>
      <c r="AF279" s="484">
        <f t="shared" si="133"/>
        <v>1</v>
      </c>
      <c r="AG279" s="485"/>
      <c r="AH279" s="2199">
        <f>+SUM(AG279:AG286)</f>
        <v>0</v>
      </c>
      <c r="AI279" s="484">
        <f t="shared" si="134"/>
        <v>0</v>
      </c>
      <c r="AJ279" s="485"/>
      <c r="AK279" s="2199">
        <f>+SUM(AJ279:AJ286)</f>
        <v>0</v>
      </c>
      <c r="AL279" s="484">
        <f t="shared" si="135"/>
        <v>0</v>
      </c>
      <c r="AM279" s="485"/>
      <c r="AN279" s="2199">
        <f>+SUM(AM279:AM286)</f>
        <v>0</v>
      </c>
      <c r="AO279" s="163">
        <f t="shared" si="136"/>
        <v>0</v>
      </c>
      <c r="AP279" s="172">
        <f t="shared" si="137"/>
        <v>326000000</v>
      </c>
      <c r="AQ279" s="18" t="str">
        <f t="shared" si="138"/>
        <v>Bien</v>
      </c>
      <c r="AR279" s="1150" t="s">
        <v>1235</v>
      </c>
    </row>
    <row r="280" spans="1:44" ht="25.5" x14ac:dyDescent="0.25">
      <c r="A280" s="1698"/>
      <c r="B280" s="1882"/>
      <c r="C280" s="2215"/>
      <c r="D280" s="2215"/>
      <c r="E280" s="1867"/>
      <c r="F280" s="1701"/>
      <c r="G280" s="1704"/>
      <c r="H280" s="1707"/>
      <c r="I280" s="1707"/>
      <c r="J280" s="1885"/>
      <c r="K280" s="858" t="s">
        <v>663</v>
      </c>
      <c r="L280" s="262" t="s">
        <v>421</v>
      </c>
      <c r="M280" s="262">
        <v>2000</v>
      </c>
      <c r="N280" s="478">
        <v>6000</v>
      </c>
      <c r="O280" s="478">
        <v>500</v>
      </c>
      <c r="P280" s="479">
        <v>2000</v>
      </c>
      <c r="Q280" s="1098">
        <v>2000</v>
      </c>
      <c r="R280" s="479">
        <v>1500</v>
      </c>
      <c r="S280" s="480"/>
      <c r="T280" s="486">
        <f t="shared" si="140"/>
        <v>6000</v>
      </c>
      <c r="U280" s="482">
        <v>23833333</v>
      </c>
      <c r="V280" s="482">
        <v>95333333</v>
      </c>
      <c r="W280" s="482">
        <v>95333334</v>
      </c>
      <c r="X280" s="482">
        <v>71500000</v>
      </c>
      <c r="Y280" s="483">
        <f t="shared" si="141"/>
        <v>286000000</v>
      </c>
      <c r="Z280" s="2200"/>
      <c r="AA280" s="482">
        <v>286000000</v>
      </c>
      <c r="AB280" s="2203"/>
      <c r="AC280" s="484">
        <f t="shared" si="139"/>
        <v>1</v>
      </c>
      <c r="AD280" s="485"/>
      <c r="AE280" s="2203"/>
      <c r="AF280" s="484">
        <f t="shared" si="133"/>
        <v>0</v>
      </c>
      <c r="AG280" s="485"/>
      <c r="AH280" s="2200"/>
      <c r="AI280" s="484">
        <f t="shared" si="134"/>
        <v>0</v>
      </c>
      <c r="AJ280" s="485"/>
      <c r="AK280" s="2200"/>
      <c r="AL280" s="484">
        <f t="shared" si="135"/>
        <v>0</v>
      </c>
      <c r="AM280" s="485"/>
      <c r="AN280" s="2200"/>
      <c r="AO280" s="163">
        <f t="shared" si="136"/>
        <v>0</v>
      </c>
      <c r="AP280" s="172">
        <f t="shared" si="137"/>
        <v>286000000</v>
      </c>
      <c r="AQ280" s="18" t="str">
        <f t="shared" si="138"/>
        <v>Bien</v>
      </c>
      <c r="AR280" s="1150" t="s">
        <v>1235</v>
      </c>
    </row>
    <row r="281" spans="1:44" ht="25.5" customHeight="1" x14ac:dyDescent="0.25">
      <c r="A281" s="1698"/>
      <c r="B281" s="1882"/>
      <c r="C281" s="2215"/>
      <c r="D281" s="2215"/>
      <c r="E281" s="1867"/>
      <c r="F281" s="1701"/>
      <c r="G281" s="1704"/>
      <c r="H281" s="1707"/>
      <c r="I281" s="1707"/>
      <c r="J281" s="1885"/>
      <c r="K281" s="858" t="s">
        <v>746</v>
      </c>
      <c r="L281" s="261" t="s">
        <v>422</v>
      </c>
      <c r="M281" s="261">
        <v>0</v>
      </c>
      <c r="N281" s="478">
        <v>6</v>
      </c>
      <c r="O281" s="478"/>
      <c r="P281" s="479">
        <v>2</v>
      </c>
      <c r="Q281" s="479">
        <v>2</v>
      </c>
      <c r="R281" s="479">
        <v>2</v>
      </c>
      <c r="S281" s="480"/>
      <c r="T281" s="486">
        <f t="shared" si="140"/>
        <v>6</v>
      </c>
      <c r="U281" s="482"/>
      <c r="V281" s="482">
        <v>28666667</v>
      </c>
      <c r="W281" s="482">
        <v>28666667</v>
      </c>
      <c r="X281" s="482">
        <v>28666666</v>
      </c>
      <c r="Y281" s="483">
        <f t="shared" si="141"/>
        <v>86000000</v>
      </c>
      <c r="Z281" s="2200"/>
      <c r="AA281" s="482"/>
      <c r="AB281" s="2203"/>
      <c r="AC281" s="484">
        <f t="shared" si="139"/>
        <v>0</v>
      </c>
      <c r="AD281" s="485">
        <v>86000000</v>
      </c>
      <c r="AE281" s="2203"/>
      <c r="AF281" s="484">
        <f t="shared" si="133"/>
        <v>1</v>
      </c>
      <c r="AG281" s="485"/>
      <c r="AH281" s="2200"/>
      <c r="AI281" s="484">
        <f t="shared" si="134"/>
        <v>0</v>
      </c>
      <c r="AJ281" s="485"/>
      <c r="AK281" s="2200"/>
      <c r="AL281" s="484">
        <f t="shared" si="135"/>
        <v>0</v>
      </c>
      <c r="AM281" s="485"/>
      <c r="AN281" s="2200"/>
      <c r="AO281" s="163">
        <f t="shared" si="136"/>
        <v>0</v>
      </c>
      <c r="AP281" s="172">
        <f t="shared" si="137"/>
        <v>86000000</v>
      </c>
      <c r="AQ281" s="18" t="str">
        <f t="shared" si="138"/>
        <v>Bien</v>
      </c>
      <c r="AR281" s="1150" t="s">
        <v>1235</v>
      </c>
    </row>
    <row r="282" spans="1:44" ht="63.75" x14ac:dyDescent="0.25">
      <c r="A282" s="1698"/>
      <c r="B282" s="1882"/>
      <c r="C282" s="2215"/>
      <c r="D282" s="2215"/>
      <c r="E282" s="1867"/>
      <c r="F282" s="1701"/>
      <c r="G282" s="1704"/>
      <c r="H282" s="1707"/>
      <c r="I282" s="1707"/>
      <c r="J282" s="1885"/>
      <c r="K282" s="858" t="s">
        <v>747</v>
      </c>
      <c r="L282" s="261" t="s">
        <v>664</v>
      </c>
      <c r="M282" s="261">
        <v>0</v>
      </c>
      <c r="N282" s="261">
        <v>4</v>
      </c>
      <c r="O282" s="478">
        <v>1</v>
      </c>
      <c r="P282" s="479">
        <v>1</v>
      </c>
      <c r="Q282" s="479">
        <v>1</v>
      </c>
      <c r="R282" s="479">
        <v>1</v>
      </c>
      <c r="S282" s="480"/>
      <c r="T282" s="486">
        <f t="shared" si="140"/>
        <v>4</v>
      </c>
      <c r="U282" s="482">
        <v>25000000</v>
      </c>
      <c r="V282" s="482">
        <v>26000000</v>
      </c>
      <c r="W282" s="482">
        <v>27000000</v>
      </c>
      <c r="X282" s="482">
        <v>28000000</v>
      </c>
      <c r="Y282" s="483">
        <f t="shared" si="141"/>
        <v>106000000</v>
      </c>
      <c r="Z282" s="2200"/>
      <c r="AA282" s="482">
        <v>106000000</v>
      </c>
      <c r="AB282" s="2203"/>
      <c r="AC282" s="484">
        <f t="shared" si="139"/>
        <v>1</v>
      </c>
      <c r="AD282" s="485"/>
      <c r="AE282" s="2203"/>
      <c r="AF282" s="484">
        <f t="shared" si="133"/>
        <v>0</v>
      </c>
      <c r="AG282" s="485"/>
      <c r="AH282" s="2200"/>
      <c r="AI282" s="484">
        <f t="shared" si="134"/>
        <v>0</v>
      </c>
      <c r="AJ282" s="485"/>
      <c r="AK282" s="2200"/>
      <c r="AL282" s="484">
        <f t="shared" si="135"/>
        <v>0</v>
      </c>
      <c r="AM282" s="485"/>
      <c r="AN282" s="2200"/>
      <c r="AO282" s="163">
        <f t="shared" si="136"/>
        <v>0</v>
      </c>
      <c r="AP282" s="172">
        <f t="shared" si="137"/>
        <v>106000000</v>
      </c>
      <c r="AQ282" s="18" t="str">
        <f t="shared" si="138"/>
        <v>Bien</v>
      </c>
      <c r="AR282" s="1150" t="s">
        <v>1235</v>
      </c>
    </row>
    <row r="283" spans="1:44" ht="51" x14ac:dyDescent="0.25">
      <c r="A283" s="1698"/>
      <c r="B283" s="1882"/>
      <c r="C283" s="2215"/>
      <c r="D283" s="2215"/>
      <c r="E283" s="1867"/>
      <c r="F283" s="1702"/>
      <c r="G283" s="1705"/>
      <c r="H283" s="1708"/>
      <c r="I283" s="1708"/>
      <c r="J283" s="1885"/>
      <c r="K283" s="858" t="s">
        <v>665</v>
      </c>
      <c r="L283" s="262" t="s">
        <v>423</v>
      </c>
      <c r="M283" s="262">
        <v>5</v>
      </c>
      <c r="N283" s="262">
        <v>7</v>
      </c>
      <c r="O283" s="478">
        <v>1</v>
      </c>
      <c r="P283" s="479">
        <v>2</v>
      </c>
      <c r="Q283" s="479">
        <v>2</v>
      </c>
      <c r="R283" s="479">
        <v>2</v>
      </c>
      <c r="S283" s="480"/>
      <c r="T283" s="486">
        <f t="shared" si="140"/>
        <v>7</v>
      </c>
      <c r="U283" s="482">
        <v>35018064</v>
      </c>
      <c r="V283" s="482">
        <v>36036670</v>
      </c>
      <c r="W283" s="482">
        <v>37289164</v>
      </c>
      <c r="X283" s="482">
        <v>38837839</v>
      </c>
      <c r="Y283" s="483">
        <f t="shared" si="141"/>
        <v>147181737</v>
      </c>
      <c r="Z283" s="2200"/>
      <c r="AA283" s="482"/>
      <c r="AB283" s="2203"/>
      <c r="AC283" s="484">
        <f t="shared" si="139"/>
        <v>0</v>
      </c>
      <c r="AD283" s="485">
        <v>147181737</v>
      </c>
      <c r="AE283" s="2203"/>
      <c r="AF283" s="484">
        <f t="shared" si="133"/>
        <v>1</v>
      </c>
      <c r="AG283" s="485"/>
      <c r="AH283" s="2200"/>
      <c r="AI283" s="484">
        <f t="shared" si="134"/>
        <v>0</v>
      </c>
      <c r="AJ283" s="485"/>
      <c r="AK283" s="2200"/>
      <c r="AL283" s="484">
        <f t="shared" si="135"/>
        <v>0</v>
      </c>
      <c r="AM283" s="485"/>
      <c r="AN283" s="2200"/>
      <c r="AO283" s="163">
        <f t="shared" si="136"/>
        <v>0</v>
      </c>
      <c r="AP283" s="172">
        <f t="shared" si="137"/>
        <v>147181737</v>
      </c>
      <c r="AQ283" s="18" t="str">
        <f t="shared" si="138"/>
        <v>Bien</v>
      </c>
      <c r="AR283" s="1150" t="s">
        <v>1235</v>
      </c>
    </row>
    <row r="284" spans="1:44" ht="38.25" x14ac:dyDescent="0.25">
      <c r="A284" s="1698"/>
      <c r="B284" s="1882"/>
      <c r="C284" s="2215"/>
      <c r="D284" s="2215"/>
      <c r="E284" s="1867"/>
      <c r="F284" s="487" t="s">
        <v>745</v>
      </c>
      <c r="G284" s="488" t="s">
        <v>1030</v>
      </c>
      <c r="H284" s="489">
        <v>0</v>
      </c>
      <c r="I284" s="489">
        <v>2</v>
      </c>
      <c r="J284" s="1885"/>
      <c r="K284" s="858" t="s">
        <v>424</v>
      </c>
      <c r="L284" s="262" t="s">
        <v>735</v>
      </c>
      <c r="M284" s="856">
        <v>0</v>
      </c>
      <c r="N284" s="856">
        <v>20</v>
      </c>
      <c r="O284" s="490">
        <v>2</v>
      </c>
      <c r="P284" s="491">
        <v>6</v>
      </c>
      <c r="Q284" s="491">
        <v>6</v>
      </c>
      <c r="R284" s="491">
        <v>6</v>
      </c>
      <c r="S284" s="480"/>
      <c r="T284" s="492">
        <f t="shared" si="140"/>
        <v>20</v>
      </c>
      <c r="U284" s="482">
        <v>10000000</v>
      </c>
      <c r="V284" s="482">
        <v>10000000</v>
      </c>
      <c r="W284" s="482">
        <v>10000000</v>
      </c>
      <c r="X284" s="482">
        <v>10000000</v>
      </c>
      <c r="Y284" s="483">
        <f t="shared" si="141"/>
        <v>40000000</v>
      </c>
      <c r="Z284" s="2200"/>
      <c r="AA284" s="482">
        <v>40000000</v>
      </c>
      <c r="AB284" s="2203"/>
      <c r="AC284" s="484">
        <f t="shared" si="139"/>
        <v>1</v>
      </c>
      <c r="AD284" s="485"/>
      <c r="AE284" s="2203"/>
      <c r="AF284" s="484">
        <f t="shared" si="133"/>
        <v>0</v>
      </c>
      <c r="AG284" s="485"/>
      <c r="AH284" s="2200"/>
      <c r="AI284" s="484">
        <f t="shared" si="134"/>
        <v>0</v>
      </c>
      <c r="AJ284" s="485"/>
      <c r="AK284" s="2200"/>
      <c r="AL284" s="484">
        <f t="shared" si="135"/>
        <v>0</v>
      </c>
      <c r="AM284" s="485"/>
      <c r="AN284" s="2200"/>
      <c r="AO284" s="163">
        <f t="shared" si="136"/>
        <v>0</v>
      </c>
      <c r="AP284" s="172">
        <f t="shared" si="137"/>
        <v>40000000</v>
      </c>
      <c r="AQ284" s="18" t="str">
        <f t="shared" si="138"/>
        <v>Bien</v>
      </c>
      <c r="AR284" s="1150" t="s">
        <v>1235</v>
      </c>
    </row>
    <row r="285" spans="1:44" ht="51" x14ac:dyDescent="0.25">
      <c r="A285" s="1698"/>
      <c r="B285" s="1882"/>
      <c r="C285" s="2215"/>
      <c r="D285" s="2215"/>
      <c r="E285" s="1867"/>
      <c r="F285" s="1869" t="s">
        <v>744</v>
      </c>
      <c r="G285" s="1872" t="s">
        <v>425</v>
      </c>
      <c r="H285" s="1875">
        <v>0</v>
      </c>
      <c r="I285" s="1878">
        <v>7</v>
      </c>
      <c r="J285" s="1885"/>
      <c r="K285" s="1103" t="s">
        <v>1156</v>
      </c>
      <c r="L285" s="262" t="s">
        <v>736</v>
      </c>
      <c r="M285" s="856">
        <v>0</v>
      </c>
      <c r="N285" s="856">
        <v>7</v>
      </c>
      <c r="O285" s="478">
        <v>1</v>
      </c>
      <c r="P285" s="491">
        <v>2</v>
      </c>
      <c r="Q285" s="491">
        <v>2</v>
      </c>
      <c r="R285" s="491">
        <v>2</v>
      </c>
      <c r="S285" s="480"/>
      <c r="T285" s="492">
        <f t="shared" si="140"/>
        <v>7</v>
      </c>
      <c r="U285" s="482">
        <v>10000000</v>
      </c>
      <c r="V285" s="482">
        <v>11000000</v>
      </c>
      <c r="W285" s="482">
        <v>12000000</v>
      </c>
      <c r="X285" s="482">
        <v>13000000</v>
      </c>
      <c r="Y285" s="483">
        <f t="shared" si="141"/>
        <v>46000000</v>
      </c>
      <c r="Z285" s="2200"/>
      <c r="AA285" s="482"/>
      <c r="AB285" s="2203"/>
      <c r="AC285" s="484">
        <f t="shared" si="139"/>
        <v>0</v>
      </c>
      <c r="AD285" s="485">
        <v>46000000</v>
      </c>
      <c r="AE285" s="2203"/>
      <c r="AF285" s="484">
        <f t="shared" si="133"/>
        <v>1</v>
      </c>
      <c r="AG285" s="485"/>
      <c r="AH285" s="2200"/>
      <c r="AI285" s="484">
        <f t="shared" si="134"/>
        <v>0</v>
      </c>
      <c r="AJ285" s="485"/>
      <c r="AK285" s="2200"/>
      <c r="AL285" s="484">
        <f t="shared" si="135"/>
        <v>0</v>
      </c>
      <c r="AM285" s="485"/>
      <c r="AN285" s="2200"/>
      <c r="AO285" s="163">
        <f t="shared" si="136"/>
        <v>0</v>
      </c>
      <c r="AP285" s="172">
        <f t="shared" si="137"/>
        <v>46000000</v>
      </c>
      <c r="AQ285" s="18" t="str">
        <f t="shared" si="138"/>
        <v>Bien</v>
      </c>
      <c r="AR285" s="1150" t="s">
        <v>1235</v>
      </c>
    </row>
    <row r="286" spans="1:44" ht="51.75" thickBot="1" x14ac:dyDescent="0.3">
      <c r="A286" s="1698"/>
      <c r="B286" s="1882"/>
      <c r="C286" s="2215"/>
      <c r="D286" s="2215"/>
      <c r="E286" s="1867"/>
      <c r="F286" s="1870"/>
      <c r="G286" s="1873"/>
      <c r="H286" s="1876"/>
      <c r="I286" s="1879"/>
      <c r="J286" s="1885"/>
      <c r="K286" s="1103" t="s">
        <v>1157</v>
      </c>
      <c r="L286" s="262" t="s">
        <v>748</v>
      </c>
      <c r="M286" s="854">
        <v>0</v>
      </c>
      <c r="N286" s="854">
        <v>20</v>
      </c>
      <c r="O286" s="854">
        <v>2</v>
      </c>
      <c r="P286" s="854">
        <v>6</v>
      </c>
      <c r="Q286" s="854">
        <v>6</v>
      </c>
      <c r="R286" s="854">
        <v>6</v>
      </c>
      <c r="S286" s="480"/>
      <c r="T286" s="493">
        <f>+SUM(O284:R284)</f>
        <v>20</v>
      </c>
      <c r="U286" s="482">
        <v>8000000</v>
      </c>
      <c r="V286" s="482">
        <v>9000000</v>
      </c>
      <c r="W286" s="482">
        <v>10000000</v>
      </c>
      <c r="X286" s="482">
        <v>11000000</v>
      </c>
      <c r="Y286" s="483">
        <f t="shared" si="141"/>
        <v>38000000</v>
      </c>
      <c r="Z286" s="2200"/>
      <c r="AA286" s="482">
        <f>+Y286</f>
        <v>38000000</v>
      </c>
      <c r="AB286" s="2203"/>
      <c r="AC286" s="484">
        <f t="shared" si="139"/>
        <v>1</v>
      </c>
      <c r="AD286" s="485"/>
      <c r="AE286" s="2203"/>
      <c r="AF286" s="484">
        <f t="shared" si="133"/>
        <v>0</v>
      </c>
      <c r="AG286" s="485"/>
      <c r="AH286" s="2200"/>
      <c r="AI286" s="484">
        <f t="shared" si="134"/>
        <v>0</v>
      </c>
      <c r="AJ286" s="485"/>
      <c r="AK286" s="2200"/>
      <c r="AL286" s="484">
        <f t="shared" si="135"/>
        <v>0</v>
      </c>
      <c r="AM286" s="485"/>
      <c r="AN286" s="2200"/>
      <c r="AO286" s="163">
        <f t="shared" si="136"/>
        <v>0</v>
      </c>
      <c r="AP286" s="172">
        <f t="shared" si="137"/>
        <v>38000000</v>
      </c>
      <c r="AQ286" s="18" t="str">
        <f t="shared" si="138"/>
        <v>Bien</v>
      </c>
      <c r="AR286" s="1150" t="s">
        <v>1235</v>
      </c>
    </row>
    <row r="287" spans="1:44" ht="39" thickBot="1" x14ac:dyDescent="0.3">
      <c r="A287" s="1698"/>
      <c r="B287" s="1883"/>
      <c r="C287" s="2215"/>
      <c r="D287" s="2215"/>
      <c r="E287" s="1868"/>
      <c r="F287" s="1871"/>
      <c r="G287" s="1874"/>
      <c r="H287" s="1877"/>
      <c r="I287" s="1880"/>
      <c r="J287" s="1886"/>
      <c r="K287" s="1103" t="s">
        <v>1057</v>
      </c>
      <c r="L287" s="262" t="s">
        <v>1158</v>
      </c>
      <c r="M287" s="855">
        <v>0</v>
      </c>
      <c r="N287" s="855">
        <v>1</v>
      </c>
      <c r="O287" s="855">
        <v>0.25</v>
      </c>
      <c r="P287" s="855">
        <v>0.25</v>
      </c>
      <c r="Q287" s="855">
        <v>0.25</v>
      </c>
      <c r="R287" s="855">
        <v>0.25</v>
      </c>
      <c r="S287" s="853"/>
      <c r="T287" s="494"/>
      <c r="U287" s="482">
        <v>2000000</v>
      </c>
      <c r="V287" s="482">
        <v>2000000</v>
      </c>
      <c r="W287" s="482">
        <v>2000000</v>
      </c>
      <c r="X287" s="482">
        <v>2000000</v>
      </c>
      <c r="Y287" s="483">
        <f t="shared" si="141"/>
        <v>8000000</v>
      </c>
      <c r="Z287" s="2201"/>
      <c r="AA287" s="482">
        <f>+Y287</f>
        <v>8000000</v>
      </c>
      <c r="AB287" s="2204"/>
      <c r="AC287" s="484"/>
      <c r="AD287" s="485"/>
      <c r="AE287" s="2204"/>
      <c r="AF287" s="484">
        <f t="shared" si="133"/>
        <v>0</v>
      </c>
      <c r="AG287" s="485"/>
      <c r="AH287" s="2201"/>
      <c r="AI287" s="484">
        <f t="shared" si="134"/>
        <v>0</v>
      </c>
      <c r="AJ287" s="485"/>
      <c r="AK287" s="2201"/>
      <c r="AL287" s="484">
        <f t="shared" si="135"/>
        <v>0</v>
      </c>
      <c r="AM287" s="485"/>
      <c r="AN287" s="2201"/>
      <c r="AO287" s="163">
        <f t="shared" si="136"/>
        <v>0</v>
      </c>
      <c r="AP287" s="172">
        <f t="shared" si="137"/>
        <v>8000000</v>
      </c>
      <c r="AQ287" s="18" t="str">
        <f t="shared" si="138"/>
        <v>Bien</v>
      </c>
      <c r="AR287" s="1150" t="s">
        <v>1235</v>
      </c>
    </row>
    <row r="288" spans="1:44" ht="38.25" customHeight="1" x14ac:dyDescent="0.25">
      <c r="A288" s="1698"/>
      <c r="B288" s="1734" t="s">
        <v>426</v>
      </c>
      <c r="C288" s="1771">
        <v>1702</v>
      </c>
      <c r="D288" s="1771" t="s">
        <v>1104</v>
      </c>
      <c r="E288" s="1735" t="s">
        <v>427</v>
      </c>
      <c r="F288" s="1737" t="s">
        <v>749</v>
      </c>
      <c r="G288" s="1739" t="s">
        <v>750</v>
      </c>
      <c r="H288" s="1741">
        <v>0</v>
      </c>
      <c r="I288" s="1741">
        <v>1</v>
      </c>
      <c r="J288" s="2211" t="s">
        <v>428</v>
      </c>
      <c r="K288" s="1102" t="s">
        <v>1159</v>
      </c>
      <c r="L288" s="226" t="s">
        <v>1268</v>
      </c>
      <c r="M288" s="226">
        <v>8</v>
      </c>
      <c r="N288" s="226">
        <v>16</v>
      </c>
      <c r="O288" s="226">
        <v>4</v>
      </c>
      <c r="P288" s="226">
        <v>4</v>
      </c>
      <c r="Q288" s="226">
        <v>4</v>
      </c>
      <c r="R288" s="226">
        <v>4</v>
      </c>
      <c r="S288" s="495"/>
      <c r="T288" s="496">
        <v>1</v>
      </c>
      <c r="U288" s="120">
        <v>10000000</v>
      </c>
      <c r="V288" s="120">
        <v>11000000</v>
      </c>
      <c r="W288" s="120">
        <v>12000000</v>
      </c>
      <c r="X288" s="120">
        <v>13000000</v>
      </c>
      <c r="Y288" s="123">
        <f t="shared" si="141"/>
        <v>46000000</v>
      </c>
      <c r="Z288" s="1726">
        <f>+SUM(Y288:Y289)</f>
        <v>171981936</v>
      </c>
      <c r="AA288" s="120"/>
      <c r="AB288" s="1733">
        <f>+SUM(AA288:AA289)</f>
        <v>0</v>
      </c>
      <c r="AC288" s="497">
        <f t="shared" si="139"/>
        <v>0</v>
      </c>
      <c r="AD288" s="122">
        <v>46000000</v>
      </c>
      <c r="AE288" s="1733">
        <f>+SUM(AD288:AD289)</f>
        <v>171981936</v>
      </c>
      <c r="AF288" s="497">
        <f t="shared" si="133"/>
        <v>1</v>
      </c>
      <c r="AG288" s="122"/>
      <c r="AH288" s="1726">
        <f>+SUM(AG288:AG289)</f>
        <v>0</v>
      </c>
      <c r="AI288" s="497">
        <f t="shared" si="134"/>
        <v>0</v>
      </c>
      <c r="AJ288" s="122"/>
      <c r="AK288" s="1726">
        <f>+SUM(AJ288:AJ289)</f>
        <v>0</v>
      </c>
      <c r="AL288" s="497">
        <f t="shared" si="135"/>
        <v>0</v>
      </c>
      <c r="AM288" s="122"/>
      <c r="AN288" s="1726">
        <f>+SUM(AM288:AM289)</f>
        <v>0</v>
      </c>
      <c r="AO288" s="164">
        <f t="shared" si="136"/>
        <v>0</v>
      </c>
      <c r="AP288" s="172">
        <f t="shared" si="137"/>
        <v>46000000</v>
      </c>
      <c r="AQ288" s="18" t="str">
        <f t="shared" si="138"/>
        <v>Bien</v>
      </c>
      <c r="AR288" s="1150" t="s">
        <v>1235</v>
      </c>
    </row>
    <row r="289" spans="1:44" ht="36" customHeight="1" thickBot="1" x14ac:dyDescent="0.3">
      <c r="A289" s="1698"/>
      <c r="B289" s="1510"/>
      <c r="C289" s="1771"/>
      <c r="D289" s="1771"/>
      <c r="E289" s="1736"/>
      <c r="F289" s="1738"/>
      <c r="G289" s="1740"/>
      <c r="H289" s="1742"/>
      <c r="I289" s="1742"/>
      <c r="J289" s="2212"/>
      <c r="K289" s="1102" t="s">
        <v>737</v>
      </c>
      <c r="L289" s="226" t="s">
        <v>1269</v>
      </c>
      <c r="M289" s="226">
        <v>10</v>
      </c>
      <c r="N289" s="226">
        <v>1000</v>
      </c>
      <c r="O289" s="226">
        <v>250</v>
      </c>
      <c r="P289" s="226">
        <v>250</v>
      </c>
      <c r="Q289" s="226">
        <v>250</v>
      </c>
      <c r="R289" s="226">
        <v>250</v>
      </c>
      <c r="S289" s="495"/>
      <c r="T289" s="498">
        <f t="shared" ref="T289:T315" si="142">+SUM(O289:R289)</f>
        <v>1000</v>
      </c>
      <c r="U289" s="120">
        <v>30000000</v>
      </c>
      <c r="V289" s="120">
        <v>30981936</v>
      </c>
      <c r="W289" s="120">
        <v>32000000</v>
      </c>
      <c r="X289" s="120">
        <v>33000000</v>
      </c>
      <c r="Y289" s="123">
        <f t="shared" si="141"/>
        <v>125981936</v>
      </c>
      <c r="Z289" s="1727"/>
      <c r="AA289" s="120"/>
      <c r="AB289" s="1472"/>
      <c r="AC289" s="497">
        <f t="shared" si="139"/>
        <v>0</v>
      </c>
      <c r="AD289" s="122">
        <v>125981936</v>
      </c>
      <c r="AE289" s="1472"/>
      <c r="AF289" s="497">
        <f t="shared" si="133"/>
        <v>1</v>
      </c>
      <c r="AG289" s="122"/>
      <c r="AH289" s="1727"/>
      <c r="AI289" s="497">
        <f t="shared" si="134"/>
        <v>0</v>
      </c>
      <c r="AJ289" s="122"/>
      <c r="AK289" s="1727"/>
      <c r="AL289" s="497">
        <f t="shared" si="135"/>
        <v>0</v>
      </c>
      <c r="AM289" s="122"/>
      <c r="AN289" s="1727"/>
      <c r="AO289" s="164">
        <f t="shared" si="136"/>
        <v>0</v>
      </c>
      <c r="AP289" s="172">
        <f t="shared" si="137"/>
        <v>125981936</v>
      </c>
      <c r="AQ289" s="18" t="str">
        <f t="shared" si="138"/>
        <v>Bien</v>
      </c>
      <c r="AR289" s="1150" t="s">
        <v>1235</v>
      </c>
    </row>
    <row r="290" spans="1:44" ht="30.75" customHeight="1" x14ac:dyDescent="0.25">
      <c r="A290" s="1698"/>
      <c r="B290" s="1760" t="s">
        <v>429</v>
      </c>
      <c r="C290" s="2185">
        <v>3605</v>
      </c>
      <c r="D290" s="2185" t="s">
        <v>1106</v>
      </c>
      <c r="E290" s="1761" t="s">
        <v>430</v>
      </c>
      <c r="F290" s="1764" t="s">
        <v>431</v>
      </c>
      <c r="G290" s="1767" t="s">
        <v>751</v>
      </c>
      <c r="H290" s="1770">
        <v>0</v>
      </c>
      <c r="I290" s="1770">
        <v>200</v>
      </c>
      <c r="J290" s="1728" t="s">
        <v>432</v>
      </c>
      <c r="K290" s="201" t="s">
        <v>433</v>
      </c>
      <c r="L290" s="499" t="s">
        <v>666</v>
      </c>
      <c r="M290" s="500">
        <v>0</v>
      </c>
      <c r="N290" s="500">
        <v>4</v>
      </c>
      <c r="O290" s="501">
        <v>1</v>
      </c>
      <c r="P290" s="502">
        <v>1</v>
      </c>
      <c r="Q290" s="502">
        <v>1</v>
      </c>
      <c r="R290" s="502">
        <v>1</v>
      </c>
      <c r="S290" s="503"/>
      <c r="T290" s="504">
        <f t="shared" si="142"/>
        <v>4</v>
      </c>
      <c r="U290" s="505">
        <v>12750000</v>
      </c>
      <c r="V290" s="505">
        <v>11329480</v>
      </c>
      <c r="W290" s="505">
        <v>11341764</v>
      </c>
      <c r="X290" s="505">
        <v>11447747</v>
      </c>
      <c r="Y290" s="506">
        <f t="shared" si="141"/>
        <v>46868991</v>
      </c>
      <c r="Z290" s="1729">
        <f>+SUM(Y290:Y294)</f>
        <v>527855991</v>
      </c>
      <c r="AA290" s="505">
        <v>46868991</v>
      </c>
      <c r="AB290" s="1732">
        <f>+SUM(AA290:AA294)</f>
        <v>527855991</v>
      </c>
      <c r="AC290" s="507">
        <f t="shared" si="139"/>
        <v>1</v>
      </c>
      <c r="AD290" s="508"/>
      <c r="AE290" s="1732">
        <f>+SUM(AD290:AD294)</f>
        <v>0</v>
      </c>
      <c r="AF290" s="507">
        <f t="shared" si="133"/>
        <v>0</v>
      </c>
      <c r="AG290" s="508"/>
      <c r="AH290" s="1729">
        <f>+SUM(AG290:AG294)</f>
        <v>0</v>
      </c>
      <c r="AI290" s="507">
        <f t="shared" si="134"/>
        <v>0</v>
      </c>
      <c r="AJ290" s="508"/>
      <c r="AK290" s="1729">
        <f>+SUM(AJ290:AJ294)</f>
        <v>0</v>
      </c>
      <c r="AL290" s="507">
        <f t="shared" si="135"/>
        <v>0</v>
      </c>
      <c r="AM290" s="508"/>
      <c r="AN290" s="1729">
        <f>+SUM(AM290:AM294)</f>
        <v>0</v>
      </c>
      <c r="AO290" s="165">
        <f t="shared" si="136"/>
        <v>0</v>
      </c>
      <c r="AP290" s="172">
        <f t="shared" si="137"/>
        <v>46868991</v>
      </c>
      <c r="AQ290" s="18" t="str">
        <f t="shared" si="138"/>
        <v>Bien</v>
      </c>
      <c r="AR290" s="1150" t="s">
        <v>1235</v>
      </c>
    </row>
    <row r="291" spans="1:44" ht="38.25" x14ac:dyDescent="0.25">
      <c r="A291" s="1698"/>
      <c r="B291" s="1509"/>
      <c r="C291" s="2185"/>
      <c r="D291" s="2185"/>
      <c r="E291" s="1762"/>
      <c r="F291" s="1765"/>
      <c r="G291" s="1768"/>
      <c r="H291" s="1768"/>
      <c r="I291" s="1768"/>
      <c r="J291" s="1405"/>
      <c r="K291" s="201" t="s">
        <v>667</v>
      </c>
      <c r="L291" s="201" t="s">
        <v>668</v>
      </c>
      <c r="M291" s="204">
        <v>0</v>
      </c>
      <c r="N291" s="204">
        <v>4</v>
      </c>
      <c r="O291" s="501">
        <v>1</v>
      </c>
      <c r="P291" s="502">
        <v>1</v>
      </c>
      <c r="Q291" s="502">
        <v>1</v>
      </c>
      <c r="R291" s="502">
        <v>1</v>
      </c>
      <c r="S291" s="503"/>
      <c r="T291" s="509">
        <f t="shared" si="142"/>
        <v>4</v>
      </c>
      <c r="U291" s="505">
        <v>38216000</v>
      </c>
      <c r="V291" s="505">
        <v>33960000</v>
      </c>
      <c r="W291" s="505">
        <v>34003000</v>
      </c>
      <c r="X291" s="505">
        <v>34313000</v>
      </c>
      <c r="Y291" s="506">
        <f t="shared" si="141"/>
        <v>140492000</v>
      </c>
      <c r="Z291" s="1730"/>
      <c r="AA291" s="505">
        <v>140492000</v>
      </c>
      <c r="AB291" s="1481"/>
      <c r="AC291" s="507">
        <f t="shared" si="139"/>
        <v>1</v>
      </c>
      <c r="AD291" s="508"/>
      <c r="AE291" s="1481"/>
      <c r="AF291" s="507">
        <f t="shared" si="133"/>
        <v>0</v>
      </c>
      <c r="AG291" s="508"/>
      <c r="AH291" s="1730"/>
      <c r="AI291" s="507">
        <f t="shared" si="134"/>
        <v>0</v>
      </c>
      <c r="AJ291" s="508"/>
      <c r="AK291" s="1730"/>
      <c r="AL291" s="507">
        <f t="shared" si="135"/>
        <v>0</v>
      </c>
      <c r="AM291" s="508"/>
      <c r="AN291" s="1730"/>
      <c r="AO291" s="165">
        <f t="shared" si="136"/>
        <v>0</v>
      </c>
      <c r="AP291" s="172">
        <f t="shared" si="137"/>
        <v>140492000</v>
      </c>
      <c r="AQ291" s="18" t="str">
        <f t="shared" si="138"/>
        <v>Bien</v>
      </c>
      <c r="AR291" s="1150" t="s">
        <v>1235</v>
      </c>
    </row>
    <row r="292" spans="1:44" ht="34.5" customHeight="1" x14ac:dyDescent="0.25">
      <c r="A292" s="1698"/>
      <c r="B292" s="1509"/>
      <c r="C292" s="2185"/>
      <c r="D292" s="2185"/>
      <c r="E292" s="1762"/>
      <c r="F292" s="1765"/>
      <c r="G292" s="1768"/>
      <c r="H292" s="1768"/>
      <c r="I292" s="1768"/>
      <c r="J292" s="1405"/>
      <c r="K292" s="201" t="s">
        <v>434</v>
      </c>
      <c r="L292" s="204" t="s">
        <v>673</v>
      </c>
      <c r="M292" s="204">
        <v>0</v>
      </c>
      <c r="N292" s="204">
        <v>10</v>
      </c>
      <c r="O292" s="501">
        <v>2</v>
      </c>
      <c r="P292" s="502">
        <v>2</v>
      </c>
      <c r="Q292" s="502">
        <v>3</v>
      </c>
      <c r="R292" s="502">
        <v>3</v>
      </c>
      <c r="S292" s="503"/>
      <c r="T292" s="509">
        <f t="shared" si="142"/>
        <v>10</v>
      </c>
      <c r="U292" s="505">
        <v>6369000</v>
      </c>
      <c r="V292" s="505">
        <v>5660000</v>
      </c>
      <c r="W292" s="505">
        <v>7934000</v>
      </c>
      <c r="X292" s="505">
        <v>8006000</v>
      </c>
      <c r="Y292" s="506">
        <f t="shared" si="141"/>
        <v>27969000</v>
      </c>
      <c r="Z292" s="1730"/>
      <c r="AA292" s="505">
        <v>27969000</v>
      </c>
      <c r="AB292" s="1481"/>
      <c r="AC292" s="507">
        <f t="shared" si="139"/>
        <v>1</v>
      </c>
      <c r="AD292" s="508"/>
      <c r="AE292" s="1481"/>
      <c r="AF292" s="507">
        <f t="shared" si="133"/>
        <v>0</v>
      </c>
      <c r="AG292" s="508"/>
      <c r="AH292" s="1730"/>
      <c r="AI292" s="507">
        <f t="shared" si="134"/>
        <v>0</v>
      </c>
      <c r="AJ292" s="508"/>
      <c r="AK292" s="1730"/>
      <c r="AL292" s="507">
        <f t="shared" si="135"/>
        <v>0</v>
      </c>
      <c r="AM292" s="508"/>
      <c r="AN292" s="1730"/>
      <c r="AO292" s="165">
        <f t="shared" si="136"/>
        <v>0</v>
      </c>
      <c r="AP292" s="172">
        <f t="shared" si="137"/>
        <v>27969000</v>
      </c>
      <c r="AQ292" s="18" t="str">
        <f t="shared" si="138"/>
        <v>Bien</v>
      </c>
      <c r="AR292" s="1150" t="s">
        <v>1235</v>
      </c>
    </row>
    <row r="293" spans="1:44" ht="38.25" x14ac:dyDescent="0.25">
      <c r="A293" s="1698"/>
      <c r="B293" s="1509"/>
      <c r="C293" s="2185"/>
      <c r="D293" s="2185"/>
      <c r="E293" s="1762"/>
      <c r="F293" s="1765"/>
      <c r="G293" s="1768"/>
      <c r="H293" s="1768"/>
      <c r="I293" s="1768"/>
      <c r="J293" s="1405"/>
      <c r="K293" s="201" t="s">
        <v>435</v>
      </c>
      <c r="L293" s="201" t="s">
        <v>669</v>
      </c>
      <c r="M293" s="204">
        <v>0</v>
      </c>
      <c r="N293" s="204">
        <v>7</v>
      </c>
      <c r="O293" s="501">
        <v>1</v>
      </c>
      <c r="P293" s="502">
        <v>2</v>
      </c>
      <c r="Q293" s="502">
        <v>2</v>
      </c>
      <c r="R293" s="502">
        <v>2</v>
      </c>
      <c r="S293" s="503"/>
      <c r="T293" s="509">
        <f t="shared" si="142"/>
        <v>7</v>
      </c>
      <c r="U293" s="505">
        <f>12738000+3821000</f>
        <v>16559000</v>
      </c>
      <c r="V293" s="505">
        <f>22640000+5660000</f>
        <v>28300000</v>
      </c>
      <c r="W293" s="505">
        <f>22668000+5667000</f>
        <v>28335000</v>
      </c>
      <c r="X293" s="505">
        <f>22875000+5718000</f>
        <v>28593000</v>
      </c>
      <c r="Y293" s="506">
        <f t="shared" si="141"/>
        <v>101787000</v>
      </c>
      <c r="Z293" s="1730"/>
      <c r="AA293" s="505">
        <f>+Y293</f>
        <v>101787000</v>
      </c>
      <c r="AB293" s="1481"/>
      <c r="AC293" s="507">
        <f t="shared" si="139"/>
        <v>1</v>
      </c>
      <c r="AD293" s="508"/>
      <c r="AE293" s="1481"/>
      <c r="AF293" s="507">
        <f t="shared" si="133"/>
        <v>0</v>
      </c>
      <c r="AG293" s="508"/>
      <c r="AH293" s="1730"/>
      <c r="AI293" s="507">
        <f t="shared" si="134"/>
        <v>0</v>
      </c>
      <c r="AJ293" s="508"/>
      <c r="AK293" s="1730"/>
      <c r="AL293" s="507">
        <f t="shared" si="135"/>
        <v>0</v>
      </c>
      <c r="AM293" s="508"/>
      <c r="AN293" s="1730"/>
      <c r="AO293" s="165">
        <f t="shared" si="136"/>
        <v>0</v>
      </c>
      <c r="AP293" s="172">
        <f t="shared" si="137"/>
        <v>101787000</v>
      </c>
      <c r="AQ293" s="18" t="str">
        <f t="shared" si="138"/>
        <v>Bien</v>
      </c>
      <c r="AR293" s="1150" t="s">
        <v>1235</v>
      </c>
    </row>
    <row r="294" spans="1:44" ht="75" customHeight="1" thickBot="1" x14ac:dyDescent="0.3">
      <c r="A294" s="1698"/>
      <c r="B294" s="1510"/>
      <c r="C294" s="1113">
        <v>3602</v>
      </c>
      <c r="D294" s="1113" t="s">
        <v>1105</v>
      </c>
      <c r="E294" s="1763"/>
      <c r="F294" s="1766"/>
      <c r="G294" s="1769"/>
      <c r="H294" s="1769"/>
      <c r="I294" s="1769"/>
      <c r="J294" s="1139" t="s">
        <v>1160</v>
      </c>
      <c r="K294" s="201" t="s">
        <v>729</v>
      </c>
      <c r="L294" s="500" t="s">
        <v>752</v>
      </c>
      <c r="M294" s="500">
        <v>0</v>
      </c>
      <c r="N294" s="510">
        <v>100</v>
      </c>
      <c r="O294" s="501">
        <v>25</v>
      </c>
      <c r="P294" s="502">
        <v>25</v>
      </c>
      <c r="Q294" s="502">
        <v>25</v>
      </c>
      <c r="R294" s="502">
        <v>25</v>
      </c>
      <c r="S294" s="503"/>
      <c r="T294" s="511">
        <f t="shared" si="142"/>
        <v>100</v>
      </c>
      <c r="U294" s="505">
        <v>57324000</v>
      </c>
      <c r="V294" s="505">
        <v>50941000</v>
      </c>
      <c r="W294" s="505">
        <v>51004000</v>
      </c>
      <c r="X294" s="505">
        <v>51470000</v>
      </c>
      <c r="Y294" s="506">
        <f t="shared" si="141"/>
        <v>210739000</v>
      </c>
      <c r="Z294" s="1731"/>
      <c r="AA294" s="505">
        <v>210739000</v>
      </c>
      <c r="AB294" s="1472"/>
      <c r="AC294" s="507">
        <f t="shared" si="139"/>
        <v>1</v>
      </c>
      <c r="AD294" s="508"/>
      <c r="AE294" s="1472"/>
      <c r="AF294" s="507">
        <f t="shared" si="133"/>
        <v>0</v>
      </c>
      <c r="AG294" s="508"/>
      <c r="AH294" s="1731"/>
      <c r="AI294" s="507">
        <f t="shared" si="134"/>
        <v>0</v>
      </c>
      <c r="AJ294" s="508"/>
      <c r="AK294" s="1731"/>
      <c r="AL294" s="507">
        <f t="shared" si="135"/>
        <v>0</v>
      </c>
      <c r="AM294" s="508"/>
      <c r="AN294" s="1731"/>
      <c r="AO294" s="165">
        <f t="shared" si="136"/>
        <v>0</v>
      </c>
      <c r="AP294" s="172">
        <f t="shared" si="137"/>
        <v>210739000</v>
      </c>
      <c r="AQ294" s="18" t="str">
        <f t="shared" si="138"/>
        <v>Bien</v>
      </c>
      <c r="AR294" s="1150" t="s">
        <v>1235</v>
      </c>
    </row>
    <row r="295" spans="1:44" ht="25.5" x14ac:dyDescent="0.25">
      <c r="A295" s="1698"/>
      <c r="B295" s="1750" t="s">
        <v>436</v>
      </c>
      <c r="C295" s="1771">
        <v>3602</v>
      </c>
      <c r="D295" s="1771" t="s">
        <v>1105</v>
      </c>
      <c r="E295" s="1751" t="s">
        <v>437</v>
      </c>
      <c r="F295" s="1753" t="s">
        <v>438</v>
      </c>
      <c r="G295" s="1756" t="s">
        <v>753</v>
      </c>
      <c r="H295" s="1758">
        <v>0</v>
      </c>
      <c r="I295" s="1758">
        <v>1000</v>
      </c>
      <c r="J295" s="1746" t="s">
        <v>754</v>
      </c>
      <c r="K295" s="227" t="s">
        <v>439</v>
      </c>
      <c r="L295" s="228" t="s">
        <v>730</v>
      </c>
      <c r="M295" s="229">
        <v>0</v>
      </c>
      <c r="N295" s="229">
        <v>50</v>
      </c>
      <c r="O295" s="229">
        <v>10</v>
      </c>
      <c r="P295" s="229">
        <v>15</v>
      </c>
      <c r="Q295" s="229">
        <v>15</v>
      </c>
      <c r="R295" s="229">
        <v>10</v>
      </c>
      <c r="S295" s="512"/>
      <c r="T295" s="513">
        <f t="shared" si="142"/>
        <v>50</v>
      </c>
      <c r="U295" s="514">
        <v>12738000</v>
      </c>
      <c r="V295" s="514">
        <v>11320000</v>
      </c>
      <c r="W295" s="514">
        <v>11334000</v>
      </c>
      <c r="X295" s="514">
        <v>11437000</v>
      </c>
      <c r="Y295" s="124">
        <f t="shared" si="141"/>
        <v>46829000</v>
      </c>
      <c r="Z295" s="1743">
        <f>+SUM(Y295:Y301)</f>
        <v>3088395000</v>
      </c>
      <c r="AA295" s="514">
        <v>46829000</v>
      </c>
      <c r="AB295" s="1749">
        <f>+SUM(AA295:AA301)</f>
        <v>2670032300</v>
      </c>
      <c r="AC295" s="125">
        <f t="shared" si="139"/>
        <v>1</v>
      </c>
      <c r="AD295" s="126"/>
      <c r="AE295" s="1749">
        <f>+SUM(AD295:AD301)</f>
        <v>418362700</v>
      </c>
      <c r="AF295" s="125">
        <f t="shared" si="133"/>
        <v>0</v>
      </c>
      <c r="AG295" s="126"/>
      <c r="AH295" s="1743">
        <f>+SUM(AG295:AG301)</f>
        <v>0</v>
      </c>
      <c r="AI295" s="125">
        <f t="shared" si="134"/>
        <v>0</v>
      </c>
      <c r="AJ295" s="126"/>
      <c r="AK295" s="1743">
        <f>+SUM(AJ295:AJ301)</f>
        <v>0</v>
      </c>
      <c r="AL295" s="125">
        <f t="shared" si="135"/>
        <v>0</v>
      </c>
      <c r="AM295" s="126"/>
      <c r="AN295" s="1743">
        <f>+SUM(AM295:AM301)</f>
        <v>0</v>
      </c>
      <c r="AO295" s="118">
        <f t="shared" si="136"/>
        <v>0</v>
      </c>
      <c r="AP295" s="172">
        <f t="shared" si="137"/>
        <v>46829000</v>
      </c>
      <c r="AQ295" s="18" t="str">
        <f t="shared" si="138"/>
        <v>Bien</v>
      </c>
      <c r="AR295" s="1150" t="s">
        <v>1235</v>
      </c>
    </row>
    <row r="296" spans="1:44" ht="51" x14ac:dyDescent="0.25">
      <c r="A296" s="1698"/>
      <c r="B296" s="1509"/>
      <c r="C296" s="1771"/>
      <c r="D296" s="1771"/>
      <c r="E296" s="1677"/>
      <c r="F296" s="1754"/>
      <c r="G296" s="1681"/>
      <c r="H296" s="1649"/>
      <c r="I296" s="1649"/>
      <c r="J296" s="1747"/>
      <c r="K296" s="227" t="s">
        <v>739</v>
      </c>
      <c r="L296" s="229" t="s">
        <v>738</v>
      </c>
      <c r="M296" s="229">
        <v>0</v>
      </c>
      <c r="N296" s="229">
        <v>1</v>
      </c>
      <c r="O296" s="515">
        <v>1</v>
      </c>
      <c r="P296" s="515"/>
      <c r="Q296" s="515"/>
      <c r="R296" s="515"/>
      <c r="S296" s="516"/>
      <c r="T296" s="517">
        <f t="shared" si="142"/>
        <v>1</v>
      </c>
      <c r="U296" s="514">
        <v>36939000</v>
      </c>
      <c r="V296" s="514"/>
      <c r="W296" s="514"/>
      <c r="X296" s="514"/>
      <c r="Y296" s="124">
        <f t="shared" si="141"/>
        <v>36939000</v>
      </c>
      <c r="Z296" s="1744"/>
      <c r="AA296" s="514">
        <f>+Y296</f>
        <v>36939000</v>
      </c>
      <c r="AB296" s="1481"/>
      <c r="AC296" s="125">
        <f t="shared" si="139"/>
        <v>1</v>
      </c>
      <c r="AD296" s="518"/>
      <c r="AE296" s="1481"/>
      <c r="AF296" s="125">
        <f t="shared" si="133"/>
        <v>0</v>
      </c>
      <c r="AG296" s="126"/>
      <c r="AH296" s="1744"/>
      <c r="AI296" s="125">
        <f t="shared" si="134"/>
        <v>0</v>
      </c>
      <c r="AJ296" s="126"/>
      <c r="AK296" s="1744"/>
      <c r="AL296" s="125">
        <f t="shared" si="135"/>
        <v>0</v>
      </c>
      <c r="AM296" s="126"/>
      <c r="AN296" s="1744"/>
      <c r="AO296" s="118">
        <f t="shared" si="136"/>
        <v>0</v>
      </c>
      <c r="AP296" s="172">
        <f t="shared" si="137"/>
        <v>36939000</v>
      </c>
      <c r="AQ296" s="18" t="str">
        <f t="shared" si="138"/>
        <v>Bien</v>
      </c>
      <c r="AR296" s="1150" t="s">
        <v>1235</v>
      </c>
    </row>
    <row r="297" spans="1:44" ht="51" x14ac:dyDescent="0.25">
      <c r="A297" s="1698"/>
      <c r="B297" s="1509"/>
      <c r="C297" s="1771"/>
      <c r="D297" s="1771"/>
      <c r="E297" s="1677"/>
      <c r="F297" s="1754"/>
      <c r="G297" s="1681"/>
      <c r="H297" s="1649"/>
      <c r="I297" s="1649"/>
      <c r="J297" s="1747"/>
      <c r="K297" s="227" t="s">
        <v>740</v>
      </c>
      <c r="L297" s="966" t="s">
        <v>39</v>
      </c>
      <c r="M297" s="230">
        <v>0</v>
      </c>
      <c r="N297" s="230">
        <v>0.2</v>
      </c>
      <c r="O297" s="519">
        <v>0.05</v>
      </c>
      <c r="P297" s="519">
        <v>0.05</v>
      </c>
      <c r="Q297" s="519">
        <v>0.05</v>
      </c>
      <c r="R297" s="519">
        <v>0.05</v>
      </c>
      <c r="S297" s="516"/>
      <c r="T297" s="517"/>
      <c r="U297" s="514">
        <v>600000000</v>
      </c>
      <c r="V297" s="514">
        <v>566015000</v>
      </c>
      <c r="W297" s="514">
        <v>566718000</v>
      </c>
      <c r="X297" s="514">
        <v>571891000</v>
      </c>
      <c r="Y297" s="124">
        <f t="shared" si="141"/>
        <v>2304624000</v>
      </c>
      <c r="Z297" s="1744"/>
      <c r="AA297" s="514">
        <f>+Y297-AD297</f>
        <v>1886261300</v>
      </c>
      <c r="AB297" s="1481"/>
      <c r="AC297" s="125">
        <f t="shared" si="139"/>
        <v>0.81846813189483403</v>
      </c>
      <c r="AD297" s="518">
        <v>418362700</v>
      </c>
      <c r="AE297" s="1481"/>
      <c r="AF297" s="125"/>
      <c r="AG297" s="126"/>
      <c r="AH297" s="1744"/>
      <c r="AI297" s="125">
        <f t="shared" si="134"/>
        <v>0</v>
      </c>
      <c r="AJ297" s="126"/>
      <c r="AK297" s="1744"/>
      <c r="AL297" s="125">
        <f t="shared" si="135"/>
        <v>0</v>
      </c>
      <c r="AM297" s="126"/>
      <c r="AN297" s="1744"/>
      <c r="AO297" s="118">
        <f t="shared" si="136"/>
        <v>0</v>
      </c>
      <c r="AP297" s="172">
        <f t="shared" si="137"/>
        <v>2304624000</v>
      </c>
      <c r="AQ297" s="18" t="str">
        <f t="shared" si="138"/>
        <v>Bien</v>
      </c>
      <c r="AR297" s="1150" t="s">
        <v>1235</v>
      </c>
    </row>
    <row r="298" spans="1:44" ht="38.25" x14ac:dyDescent="0.25">
      <c r="A298" s="1698"/>
      <c r="B298" s="1509"/>
      <c r="C298" s="1771"/>
      <c r="D298" s="1771"/>
      <c r="E298" s="1677"/>
      <c r="F298" s="1754"/>
      <c r="G298" s="1681"/>
      <c r="H298" s="1649"/>
      <c r="I298" s="1649"/>
      <c r="J298" s="1747"/>
      <c r="K298" s="227" t="s">
        <v>1058</v>
      </c>
      <c r="L298" s="227" t="s">
        <v>440</v>
      </c>
      <c r="M298" s="229">
        <v>0</v>
      </c>
      <c r="N298" s="229">
        <v>400</v>
      </c>
      <c r="O298" s="520">
        <v>50</v>
      </c>
      <c r="P298" s="521">
        <v>125</v>
      </c>
      <c r="Q298" s="521">
        <v>125</v>
      </c>
      <c r="R298" s="521">
        <v>100</v>
      </c>
      <c r="S298" s="516"/>
      <c r="T298" s="522">
        <f t="shared" si="142"/>
        <v>400</v>
      </c>
      <c r="U298" s="514">
        <v>25477000</v>
      </c>
      <c r="V298" s="514">
        <v>67921000</v>
      </c>
      <c r="W298" s="514">
        <v>68006000</v>
      </c>
      <c r="X298" s="514">
        <v>68626000</v>
      </c>
      <c r="Y298" s="124">
        <f t="shared" ref="Y298:Y322" si="143">+U298+V298+W298+X298</f>
        <v>230030000</v>
      </c>
      <c r="Z298" s="1744"/>
      <c r="AA298" s="514">
        <v>230030000</v>
      </c>
      <c r="AB298" s="1481"/>
      <c r="AC298" s="125">
        <f t="shared" si="139"/>
        <v>1</v>
      </c>
      <c r="AD298" s="126"/>
      <c r="AE298" s="1481"/>
      <c r="AF298" s="125">
        <f t="shared" si="133"/>
        <v>0</v>
      </c>
      <c r="AG298" s="126"/>
      <c r="AH298" s="1744"/>
      <c r="AI298" s="125">
        <f t="shared" si="134"/>
        <v>0</v>
      </c>
      <c r="AJ298" s="126"/>
      <c r="AK298" s="1744"/>
      <c r="AL298" s="125">
        <f t="shared" si="135"/>
        <v>0</v>
      </c>
      <c r="AM298" s="126"/>
      <c r="AN298" s="1744"/>
      <c r="AO298" s="118">
        <f t="shared" si="136"/>
        <v>0</v>
      </c>
      <c r="AP298" s="172">
        <f t="shared" si="137"/>
        <v>230030000</v>
      </c>
      <c r="AQ298" s="18" t="str">
        <f t="shared" si="138"/>
        <v>Bien</v>
      </c>
      <c r="AR298" s="1150" t="s">
        <v>1235</v>
      </c>
    </row>
    <row r="299" spans="1:44" ht="51" x14ac:dyDescent="0.25">
      <c r="A299" s="1698"/>
      <c r="B299" s="1509"/>
      <c r="C299" s="1771"/>
      <c r="D299" s="1771"/>
      <c r="E299" s="1677"/>
      <c r="F299" s="1754"/>
      <c r="G299" s="1681"/>
      <c r="H299" s="1649"/>
      <c r="I299" s="1649"/>
      <c r="J299" s="1747"/>
      <c r="K299" s="227" t="s">
        <v>1059</v>
      </c>
      <c r="L299" s="227" t="s">
        <v>670</v>
      </c>
      <c r="M299" s="229">
        <v>0</v>
      </c>
      <c r="N299" s="229">
        <v>175</v>
      </c>
      <c r="O299" s="520">
        <v>25</v>
      </c>
      <c r="P299" s="521">
        <v>50</v>
      </c>
      <c r="Q299" s="521">
        <v>50</v>
      </c>
      <c r="R299" s="521">
        <v>50</v>
      </c>
      <c r="S299" s="516"/>
      <c r="T299" s="522">
        <f t="shared" si="142"/>
        <v>175</v>
      </c>
      <c r="U299" s="514">
        <v>31846000</v>
      </c>
      <c r="V299" s="514">
        <v>56601000</v>
      </c>
      <c r="W299" s="514">
        <v>56671000</v>
      </c>
      <c r="X299" s="514">
        <v>57189000</v>
      </c>
      <c r="Y299" s="124">
        <f t="shared" si="143"/>
        <v>202307000</v>
      </c>
      <c r="Z299" s="1744"/>
      <c r="AA299" s="514">
        <v>202307000</v>
      </c>
      <c r="AB299" s="1481"/>
      <c r="AC299" s="125">
        <f t="shared" si="139"/>
        <v>1</v>
      </c>
      <c r="AD299" s="126"/>
      <c r="AE299" s="1481"/>
      <c r="AF299" s="125">
        <f t="shared" si="133"/>
        <v>0</v>
      </c>
      <c r="AG299" s="126"/>
      <c r="AH299" s="1744"/>
      <c r="AI299" s="125">
        <f t="shared" si="134"/>
        <v>0</v>
      </c>
      <c r="AJ299" s="126"/>
      <c r="AK299" s="1744"/>
      <c r="AL299" s="125">
        <f t="shared" si="135"/>
        <v>0</v>
      </c>
      <c r="AM299" s="126"/>
      <c r="AN299" s="1744"/>
      <c r="AO299" s="118">
        <f t="shared" si="136"/>
        <v>0</v>
      </c>
      <c r="AP299" s="172">
        <f t="shared" si="137"/>
        <v>202307000</v>
      </c>
      <c r="AQ299" s="18" t="str">
        <f t="shared" si="138"/>
        <v>Bien</v>
      </c>
      <c r="AR299" s="1150" t="s">
        <v>1235</v>
      </c>
    </row>
    <row r="300" spans="1:44" ht="51" x14ac:dyDescent="0.25">
      <c r="A300" s="1698"/>
      <c r="B300" s="1509"/>
      <c r="C300" s="1771"/>
      <c r="D300" s="1771"/>
      <c r="E300" s="1677"/>
      <c r="F300" s="1754"/>
      <c r="G300" s="1681"/>
      <c r="H300" s="1649"/>
      <c r="I300" s="1649"/>
      <c r="J300" s="1747"/>
      <c r="K300" s="227" t="s">
        <v>1060</v>
      </c>
      <c r="L300" s="227" t="s">
        <v>211</v>
      </c>
      <c r="M300" s="229">
        <v>0</v>
      </c>
      <c r="N300" s="229">
        <v>300</v>
      </c>
      <c r="O300" s="520">
        <v>50</v>
      </c>
      <c r="P300" s="521">
        <v>50</v>
      </c>
      <c r="Q300" s="521">
        <v>100</v>
      </c>
      <c r="R300" s="521">
        <v>100</v>
      </c>
      <c r="S300" s="516"/>
      <c r="T300" s="522">
        <f t="shared" si="142"/>
        <v>300</v>
      </c>
      <c r="U300" s="514">
        <v>31846000</v>
      </c>
      <c r="V300" s="514">
        <v>28300000</v>
      </c>
      <c r="W300" s="514">
        <v>56671000</v>
      </c>
      <c r="X300" s="514">
        <v>57189000</v>
      </c>
      <c r="Y300" s="124">
        <f t="shared" si="143"/>
        <v>174006000</v>
      </c>
      <c r="Z300" s="1744"/>
      <c r="AA300" s="514">
        <v>174006000</v>
      </c>
      <c r="AB300" s="1481"/>
      <c r="AC300" s="125">
        <f t="shared" si="139"/>
        <v>1</v>
      </c>
      <c r="AD300" s="126"/>
      <c r="AE300" s="1481"/>
      <c r="AF300" s="125">
        <f t="shared" si="133"/>
        <v>0</v>
      </c>
      <c r="AG300" s="126"/>
      <c r="AH300" s="1744"/>
      <c r="AI300" s="125">
        <f t="shared" si="134"/>
        <v>0</v>
      </c>
      <c r="AJ300" s="126"/>
      <c r="AK300" s="1744"/>
      <c r="AL300" s="125">
        <f t="shared" si="135"/>
        <v>0</v>
      </c>
      <c r="AM300" s="126"/>
      <c r="AN300" s="1744"/>
      <c r="AO300" s="118">
        <f t="shared" si="136"/>
        <v>0</v>
      </c>
      <c r="AP300" s="172">
        <f t="shared" si="137"/>
        <v>174006000</v>
      </c>
      <c r="AQ300" s="18" t="str">
        <f t="shared" si="138"/>
        <v>Bien</v>
      </c>
      <c r="AR300" s="1150" t="s">
        <v>1235</v>
      </c>
    </row>
    <row r="301" spans="1:44" ht="39" thickBot="1" x14ac:dyDescent="0.3">
      <c r="A301" s="1698"/>
      <c r="B301" s="1510"/>
      <c r="C301" s="1771"/>
      <c r="D301" s="1771"/>
      <c r="E301" s="1752"/>
      <c r="F301" s="1755"/>
      <c r="G301" s="1757"/>
      <c r="H301" s="1759"/>
      <c r="I301" s="1759"/>
      <c r="J301" s="1748"/>
      <c r="K301" s="227" t="s">
        <v>755</v>
      </c>
      <c r="L301" s="227" t="s">
        <v>214</v>
      </c>
      <c r="M301" s="229">
        <v>0</v>
      </c>
      <c r="N301" s="229">
        <v>12</v>
      </c>
      <c r="O301" s="520">
        <v>3</v>
      </c>
      <c r="P301" s="521">
        <v>3</v>
      </c>
      <c r="Q301" s="521">
        <v>3</v>
      </c>
      <c r="R301" s="521">
        <v>3</v>
      </c>
      <c r="S301" s="516"/>
      <c r="T301" s="523">
        <f t="shared" si="142"/>
        <v>12</v>
      </c>
      <c r="U301" s="514">
        <v>25477000</v>
      </c>
      <c r="V301" s="514">
        <v>22640000</v>
      </c>
      <c r="W301" s="514">
        <v>22668000</v>
      </c>
      <c r="X301" s="514">
        <v>22875000</v>
      </c>
      <c r="Y301" s="124">
        <f t="shared" si="143"/>
        <v>93660000</v>
      </c>
      <c r="Z301" s="1745"/>
      <c r="AA301" s="514">
        <v>93660000</v>
      </c>
      <c r="AB301" s="1472"/>
      <c r="AC301" s="125">
        <f t="shared" si="139"/>
        <v>1</v>
      </c>
      <c r="AD301" s="126"/>
      <c r="AE301" s="1472"/>
      <c r="AF301" s="125">
        <f t="shared" si="133"/>
        <v>0</v>
      </c>
      <c r="AG301" s="126"/>
      <c r="AH301" s="1745"/>
      <c r="AI301" s="125">
        <f t="shared" si="134"/>
        <v>0</v>
      </c>
      <c r="AJ301" s="126"/>
      <c r="AK301" s="1745"/>
      <c r="AL301" s="125">
        <f t="shared" si="135"/>
        <v>0</v>
      </c>
      <c r="AM301" s="126"/>
      <c r="AN301" s="1745"/>
      <c r="AO301" s="118">
        <f t="shared" si="136"/>
        <v>0</v>
      </c>
      <c r="AP301" s="172">
        <f t="shared" si="137"/>
        <v>93660000</v>
      </c>
      <c r="AQ301" s="18" t="str">
        <f t="shared" si="138"/>
        <v>Bien</v>
      </c>
      <c r="AR301" s="1150" t="s">
        <v>1235</v>
      </c>
    </row>
    <row r="302" spans="1:44" ht="38.25" x14ac:dyDescent="0.25">
      <c r="A302" s="1698"/>
      <c r="B302" s="1806" t="s">
        <v>441</v>
      </c>
      <c r="C302" s="1771">
        <v>3605</v>
      </c>
      <c r="D302" s="1771" t="s">
        <v>1106</v>
      </c>
      <c r="E302" s="1807" t="s">
        <v>442</v>
      </c>
      <c r="F302" s="1808" t="s">
        <v>443</v>
      </c>
      <c r="G302" s="1810" t="s">
        <v>444</v>
      </c>
      <c r="H302" s="1812" t="s">
        <v>107</v>
      </c>
      <c r="I302" s="1812">
        <v>1500</v>
      </c>
      <c r="J302" s="1815" t="s">
        <v>671</v>
      </c>
      <c r="K302" s="222" t="s">
        <v>756</v>
      </c>
      <c r="L302" s="221" t="s">
        <v>160</v>
      </c>
      <c r="M302" s="221">
        <v>0</v>
      </c>
      <c r="N302" s="527">
        <v>4</v>
      </c>
      <c r="O302" s="528">
        <v>1</v>
      </c>
      <c r="P302" s="529">
        <v>1</v>
      </c>
      <c r="Q302" s="529">
        <v>1</v>
      </c>
      <c r="R302" s="529">
        <v>1</v>
      </c>
      <c r="S302" s="530"/>
      <c r="T302" s="531">
        <f t="shared" si="142"/>
        <v>4</v>
      </c>
      <c r="U302" s="532">
        <v>38216000</v>
      </c>
      <c r="V302" s="532">
        <v>33960000</v>
      </c>
      <c r="W302" s="532">
        <v>34003000</v>
      </c>
      <c r="X302" s="532">
        <v>34313000</v>
      </c>
      <c r="Y302" s="148">
        <f t="shared" si="143"/>
        <v>140492000</v>
      </c>
      <c r="Z302" s="1789">
        <f>+SUM(Y302:Y307)</f>
        <v>705921000</v>
      </c>
      <c r="AA302" s="532">
        <v>140492000</v>
      </c>
      <c r="AB302" s="1818">
        <f>+SUM(AA302:AA307)</f>
        <v>705921000</v>
      </c>
      <c r="AC302" s="104">
        <f t="shared" si="139"/>
        <v>1</v>
      </c>
      <c r="AD302" s="106"/>
      <c r="AE302" s="1818">
        <f>+SUM(AD302:AD307)</f>
        <v>0</v>
      </c>
      <c r="AF302" s="104">
        <f t="shared" si="133"/>
        <v>0</v>
      </c>
      <c r="AG302" s="106"/>
      <c r="AH302" s="1789">
        <f>+SUM(AG302:AG307)</f>
        <v>0</v>
      </c>
      <c r="AI302" s="104">
        <f t="shared" si="134"/>
        <v>0</v>
      </c>
      <c r="AJ302" s="106"/>
      <c r="AK302" s="1789">
        <f>+SUM(AJ302:AJ307)</f>
        <v>0</v>
      </c>
      <c r="AL302" s="104">
        <f t="shared" si="135"/>
        <v>0</v>
      </c>
      <c r="AM302" s="106"/>
      <c r="AN302" s="1789">
        <f>+SUM(AM302:AM307)</f>
        <v>0</v>
      </c>
      <c r="AO302" s="166">
        <f t="shared" si="136"/>
        <v>0</v>
      </c>
      <c r="AP302" s="172">
        <f t="shared" si="137"/>
        <v>140492000</v>
      </c>
      <c r="AQ302" s="18" t="str">
        <f t="shared" si="138"/>
        <v>Bien</v>
      </c>
      <c r="AR302" s="1150" t="s">
        <v>1235</v>
      </c>
    </row>
    <row r="303" spans="1:44" ht="51" x14ac:dyDescent="0.25">
      <c r="A303" s="1698"/>
      <c r="B303" s="1509"/>
      <c r="C303" s="1771"/>
      <c r="D303" s="1771"/>
      <c r="E303" s="1484"/>
      <c r="F303" s="1488"/>
      <c r="G303" s="1492"/>
      <c r="H303" s="1813"/>
      <c r="I303" s="1813"/>
      <c r="J303" s="1816"/>
      <c r="K303" s="222" t="s">
        <v>672</v>
      </c>
      <c r="L303" s="222" t="s">
        <v>673</v>
      </c>
      <c r="M303" s="185">
        <v>0</v>
      </c>
      <c r="N303" s="185">
        <v>6</v>
      </c>
      <c r="O303" s="219">
        <v>1</v>
      </c>
      <c r="P303" s="99">
        <v>2</v>
      </c>
      <c r="Q303" s="99">
        <v>2</v>
      </c>
      <c r="R303" s="99">
        <v>1</v>
      </c>
      <c r="S303" s="530"/>
      <c r="T303" s="533">
        <f t="shared" si="142"/>
        <v>6</v>
      </c>
      <c r="U303" s="532">
        <v>12738000</v>
      </c>
      <c r="V303" s="532">
        <v>22640000</v>
      </c>
      <c r="W303" s="532">
        <v>22668000</v>
      </c>
      <c r="X303" s="532">
        <v>11437000</v>
      </c>
      <c r="Y303" s="148">
        <f t="shared" si="143"/>
        <v>69483000</v>
      </c>
      <c r="Z303" s="1479"/>
      <c r="AA303" s="532">
        <v>69483000</v>
      </c>
      <c r="AB303" s="1481"/>
      <c r="AC303" s="104">
        <f t="shared" si="139"/>
        <v>1</v>
      </c>
      <c r="AD303" s="106"/>
      <c r="AE303" s="1481"/>
      <c r="AF303" s="104">
        <f t="shared" si="133"/>
        <v>0</v>
      </c>
      <c r="AG303" s="106"/>
      <c r="AH303" s="1479"/>
      <c r="AI303" s="104">
        <f t="shared" si="134"/>
        <v>0</v>
      </c>
      <c r="AJ303" s="106"/>
      <c r="AK303" s="1479"/>
      <c r="AL303" s="104">
        <f t="shared" si="135"/>
        <v>0</v>
      </c>
      <c r="AM303" s="106"/>
      <c r="AN303" s="1479"/>
      <c r="AO303" s="166">
        <f t="shared" si="136"/>
        <v>0</v>
      </c>
      <c r="AP303" s="172">
        <f t="shared" si="137"/>
        <v>69483000</v>
      </c>
      <c r="AQ303" s="18" t="str">
        <f t="shared" si="138"/>
        <v>Bien</v>
      </c>
      <c r="AR303" s="1150" t="s">
        <v>1235</v>
      </c>
    </row>
    <row r="304" spans="1:44" ht="25.5" x14ac:dyDescent="0.25">
      <c r="A304" s="1698"/>
      <c r="B304" s="1509"/>
      <c r="C304" s="1771"/>
      <c r="D304" s="1771"/>
      <c r="E304" s="1484"/>
      <c r="F304" s="1488"/>
      <c r="G304" s="1492"/>
      <c r="H304" s="1813"/>
      <c r="I304" s="1813"/>
      <c r="J304" s="1816"/>
      <c r="K304" s="222" t="s">
        <v>674</v>
      </c>
      <c r="L304" s="222" t="s">
        <v>675</v>
      </c>
      <c r="M304" s="185">
        <v>0</v>
      </c>
      <c r="N304" s="185">
        <v>40</v>
      </c>
      <c r="O304" s="219">
        <v>10</v>
      </c>
      <c r="P304" s="99">
        <v>10</v>
      </c>
      <c r="Q304" s="99">
        <v>10</v>
      </c>
      <c r="R304" s="99">
        <v>10</v>
      </c>
      <c r="S304" s="530"/>
      <c r="T304" s="533">
        <f t="shared" si="142"/>
        <v>40</v>
      </c>
      <c r="U304" s="532">
        <v>6369000</v>
      </c>
      <c r="V304" s="532">
        <v>5660000</v>
      </c>
      <c r="W304" s="532">
        <v>5667000</v>
      </c>
      <c r="X304" s="532">
        <v>5718000</v>
      </c>
      <c r="Y304" s="148">
        <f t="shared" si="143"/>
        <v>23414000</v>
      </c>
      <c r="Z304" s="1479"/>
      <c r="AA304" s="532">
        <v>23414000</v>
      </c>
      <c r="AB304" s="1481"/>
      <c r="AC304" s="104">
        <f t="shared" si="139"/>
        <v>1</v>
      </c>
      <c r="AD304" s="106"/>
      <c r="AE304" s="1481"/>
      <c r="AF304" s="104">
        <f t="shared" si="133"/>
        <v>0</v>
      </c>
      <c r="AG304" s="106"/>
      <c r="AH304" s="1479"/>
      <c r="AI304" s="104">
        <f t="shared" si="134"/>
        <v>0</v>
      </c>
      <c r="AJ304" s="106"/>
      <c r="AK304" s="1479"/>
      <c r="AL304" s="104">
        <f t="shared" si="135"/>
        <v>0</v>
      </c>
      <c r="AM304" s="106"/>
      <c r="AN304" s="1479"/>
      <c r="AO304" s="166">
        <f t="shared" si="136"/>
        <v>0</v>
      </c>
      <c r="AP304" s="172">
        <f t="shared" si="137"/>
        <v>23414000</v>
      </c>
      <c r="AQ304" s="18" t="str">
        <f t="shared" si="138"/>
        <v>Bien</v>
      </c>
      <c r="AR304" s="1150" t="s">
        <v>1235</v>
      </c>
    </row>
    <row r="305" spans="1:44" ht="38.25" x14ac:dyDescent="0.25">
      <c r="A305" s="1698"/>
      <c r="B305" s="1509"/>
      <c r="C305" s="1771"/>
      <c r="D305" s="1771"/>
      <c r="E305" s="1484"/>
      <c r="F305" s="1488"/>
      <c r="G305" s="1492"/>
      <c r="H305" s="1813"/>
      <c r="I305" s="1813"/>
      <c r="J305" s="1816"/>
      <c r="K305" s="222" t="s">
        <v>676</v>
      </c>
      <c r="L305" s="222" t="s">
        <v>211</v>
      </c>
      <c r="M305" s="185">
        <v>0</v>
      </c>
      <c r="N305" s="185">
        <v>800</v>
      </c>
      <c r="O305" s="219">
        <v>50</v>
      </c>
      <c r="P305" s="99">
        <v>200</v>
      </c>
      <c r="Q305" s="99">
        <v>200</v>
      </c>
      <c r="R305" s="99">
        <v>350</v>
      </c>
      <c r="S305" s="530"/>
      <c r="T305" s="533">
        <f t="shared" si="142"/>
        <v>800</v>
      </c>
      <c r="U305" s="532">
        <v>12738000</v>
      </c>
      <c r="V305" s="532">
        <v>56601000</v>
      </c>
      <c r="W305" s="532">
        <v>56671000</v>
      </c>
      <c r="X305" s="532">
        <v>91502000</v>
      </c>
      <c r="Y305" s="148">
        <f t="shared" si="143"/>
        <v>217512000</v>
      </c>
      <c r="Z305" s="1479"/>
      <c r="AA305" s="532">
        <v>217512000</v>
      </c>
      <c r="AB305" s="1481"/>
      <c r="AC305" s="104">
        <f t="shared" si="139"/>
        <v>1</v>
      </c>
      <c r="AD305" s="106"/>
      <c r="AE305" s="1481"/>
      <c r="AF305" s="104">
        <f t="shared" si="133"/>
        <v>0</v>
      </c>
      <c r="AG305" s="106"/>
      <c r="AH305" s="1479"/>
      <c r="AI305" s="104">
        <f t="shared" si="134"/>
        <v>0</v>
      </c>
      <c r="AJ305" s="106"/>
      <c r="AK305" s="1479"/>
      <c r="AL305" s="104">
        <f t="shared" si="135"/>
        <v>0</v>
      </c>
      <c r="AM305" s="106"/>
      <c r="AN305" s="1479"/>
      <c r="AO305" s="166">
        <f t="shared" si="136"/>
        <v>0</v>
      </c>
      <c r="AP305" s="172">
        <f t="shared" si="137"/>
        <v>217512000</v>
      </c>
      <c r="AQ305" s="18" t="str">
        <f t="shared" si="138"/>
        <v>Bien</v>
      </c>
      <c r="AR305" s="1150" t="s">
        <v>1235</v>
      </c>
    </row>
    <row r="306" spans="1:44" ht="25.5" x14ac:dyDescent="0.25">
      <c r="A306" s="1698"/>
      <c r="B306" s="1509"/>
      <c r="C306" s="1771"/>
      <c r="D306" s="1771"/>
      <c r="E306" s="1484"/>
      <c r="F306" s="1488"/>
      <c r="G306" s="1492"/>
      <c r="H306" s="1813"/>
      <c r="I306" s="1813"/>
      <c r="J306" s="1816"/>
      <c r="K306" s="222" t="s">
        <v>445</v>
      </c>
      <c r="L306" s="222" t="s">
        <v>677</v>
      </c>
      <c r="M306" s="185">
        <v>0</v>
      </c>
      <c r="N306" s="185">
        <v>4</v>
      </c>
      <c r="O306" s="219">
        <v>1</v>
      </c>
      <c r="P306" s="99">
        <v>1</v>
      </c>
      <c r="Q306" s="99">
        <v>1</v>
      </c>
      <c r="R306" s="99">
        <v>1</v>
      </c>
      <c r="S306" s="530"/>
      <c r="T306" s="533">
        <f t="shared" si="142"/>
        <v>4</v>
      </c>
      <c r="U306" s="532">
        <v>63693000</v>
      </c>
      <c r="V306" s="532">
        <v>56601000</v>
      </c>
      <c r="W306" s="532">
        <v>56671000</v>
      </c>
      <c r="X306" s="532">
        <v>57189000</v>
      </c>
      <c r="Y306" s="148">
        <f t="shared" si="143"/>
        <v>234154000</v>
      </c>
      <c r="Z306" s="1479"/>
      <c r="AA306" s="532">
        <v>234154000</v>
      </c>
      <c r="AB306" s="1481"/>
      <c r="AC306" s="104">
        <f t="shared" si="139"/>
        <v>1</v>
      </c>
      <c r="AD306" s="106"/>
      <c r="AE306" s="1481"/>
      <c r="AF306" s="104">
        <f t="shared" si="133"/>
        <v>0</v>
      </c>
      <c r="AG306" s="106"/>
      <c r="AH306" s="1479"/>
      <c r="AI306" s="104">
        <f t="shared" si="134"/>
        <v>0</v>
      </c>
      <c r="AJ306" s="106"/>
      <c r="AK306" s="1479"/>
      <c r="AL306" s="104">
        <f t="shared" si="135"/>
        <v>0</v>
      </c>
      <c r="AM306" s="106"/>
      <c r="AN306" s="1479"/>
      <c r="AO306" s="166">
        <f t="shared" si="136"/>
        <v>0</v>
      </c>
      <c r="AP306" s="172">
        <f t="shared" si="137"/>
        <v>234154000</v>
      </c>
      <c r="AQ306" s="18" t="str">
        <f t="shared" si="138"/>
        <v>Bien</v>
      </c>
      <c r="AR306" s="1150" t="s">
        <v>1235</v>
      </c>
    </row>
    <row r="307" spans="1:44" ht="51.75" thickBot="1" x14ac:dyDescent="0.3">
      <c r="A307" s="1698"/>
      <c r="B307" s="1510"/>
      <c r="C307" s="1771"/>
      <c r="D307" s="1771"/>
      <c r="E307" s="1466"/>
      <c r="F307" s="1809"/>
      <c r="G307" s="1811"/>
      <c r="H307" s="1814"/>
      <c r="I307" s="1814"/>
      <c r="J307" s="1817"/>
      <c r="K307" s="222" t="s">
        <v>446</v>
      </c>
      <c r="L307" s="222" t="s">
        <v>39</v>
      </c>
      <c r="M307" s="225">
        <v>0</v>
      </c>
      <c r="N307" s="225">
        <v>1</v>
      </c>
      <c r="O307" s="219">
        <v>0.1</v>
      </c>
      <c r="P307" s="99">
        <v>0.3</v>
      </c>
      <c r="Q307" s="99">
        <v>0.3</v>
      </c>
      <c r="R307" s="99">
        <v>0.3</v>
      </c>
      <c r="S307" s="530"/>
      <c r="T307" s="534">
        <f t="shared" si="142"/>
        <v>1</v>
      </c>
      <c r="U307" s="532">
        <v>3821000</v>
      </c>
      <c r="V307" s="532">
        <v>5660000</v>
      </c>
      <c r="W307" s="532">
        <v>5667000</v>
      </c>
      <c r="X307" s="532">
        <v>5718000</v>
      </c>
      <c r="Y307" s="148">
        <f t="shared" si="143"/>
        <v>20866000</v>
      </c>
      <c r="Z307" s="1470"/>
      <c r="AA307" s="532">
        <v>20866000</v>
      </c>
      <c r="AB307" s="1472"/>
      <c r="AC307" s="104">
        <f t="shared" si="139"/>
        <v>1</v>
      </c>
      <c r="AD307" s="106"/>
      <c r="AE307" s="1472"/>
      <c r="AF307" s="104">
        <f t="shared" si="133"/>
        <v>0</v>
      </c>
      <c r="AG307" s="106"/>
      <c r="AH307" s="1470"/>
      <c r="AI307" s="104">
        <f t="shared" si="134"/>
        <v>0</v>
      </c>
      <c r="AJ307" s="106"/>
      <c r="AK307" s="1470"/>
      <c r="AL307" s="104">
        <f t="shared" si="135"/>
        <v>0</v>
      </c>
      <c r="AM307" s="106"/>
      <c r="AN307" s="1470"/>
      <c r="AO307" s="166">
        <f t="shared" si="136"/>
        <v>0</v>
      </c>
      <c r="AP307" s="172">
        <f t="shared" si="137"/>
        <v>20866000</v>
      </c>
      <c r="AQ307" s="18" t="str">
        <f t="shared" si="138"/>
        <v>Bien</v>
      </c>
      <c r="AR307" s="1150" t="s">
        <v>1235</v>
      </c>
    </row>
    <row r="308" spans="1:44" ht="25.5" x14ac:dyDescent="0.25">
      <c r="A308" s="1698"/>
      <c r="B308" s="1790" t="s">
        <v>447</v>
      </c>
      <c r="C308" s="1771">
        <v>3502</v>
      </c>
      <c r="D308" s="1771" t="s">
        <v>1107</v>
      </c>
      <c r="E308" s="1792" t="s">
        <v>448</v>
      </c>
      <c r="F308" s="1795" t="s">
        <v>449</v>
      </c>
      <c r="G308" s="1798" t="s">
        <v>450</v>
      </c>
      <c r="H308" s="1798" t="s">
        <v>107</v>
      </c>
      <c r="I308" s="1798">
        <v>132000</v>
      </c>
      <c r="J308" s="1827" t="s">
        <v>451</v>
      </c>
      <c r="K308" s="442" t="s">
        <v>452</v>
      </c>
      <c r="L308" s="535" t="s">
        <v>39</v>
      </c>
      <c r="M308" s="535">
        <v>0</v>
      </c>
      <c r="N308" s="536">
        <v>1</v>
      </c>
      <c r="O308" s="537">
        <v>0.2</v>
      </c>
      <c r="P308" s="538">
        <v>0.6</v>
      </c>
      <c r="Q308" s="538">
        <v>0.1</v>
      </c>
      <c r="R308" s="538">
        <v>0.1</v>
      </c>
      <c r="S308" s="539"/>
      <c r="T308" s="540">
        <f t="shared" si="142"/>
        <v>1</v>
      </c>
      <c r="U308" s="541">
        <f>100000000*20%</f>
        <v>20000000</v>
      </c>
      <c r="V308" s="541">
        <f>100000000*60%</f>
        <v>60000000</v>
      </c>
      <c r="W308" s="541">
        <f>100000000*10%</f>
        <v>10000000</v>
      </c>
      <c r="X308" s="541">
        <f>100000000*10%</f>
        <v>10000000</v>
      </c>
      <c r="Y308" s="542">
        <f t="shared" si="143"/>
        <v>100000000</v>
      </c>
      <c r="Z308" s="1824">
        <f>+SUM(Y308:Y315)</f>
        <v>2035000000</v>
      </c>
      <c r="AA308" s="542">
        <v>30000000</v>
      </c>
      <c r="AB308" s="1858">
        <f>+SUM(AA308:AA315)</f>
        <v>655000000</v>
      </c>
      <c r="AC308" s="538">
        <f t="shared" si="139"/>
        <v>0.3</v>
      </c>
      <c r="AD308" s="543"/>
      <c r="AE308" s="1858">
        <f>+SUM(AD308:AD315)</f>
        <v>0</v>
      </c>
      <c r="AF308" s="538">
        <f t="shared" si="133"/>
        <v>0</v>
      </c>
      <c r="AG308" s="543"/>
      <c r="AH308" s="1824">
        <f>+SUM(AG308:AG315)</f>
        <v>0</v>
      </c>
      <c r="AI308" s="538">
        <f t="shared" si="134"/>
        <v>0</v>
      </c>
      <c r="AJ308" s="543"/>
      <c r="AK308" s="1824">
        <f>+SUM(AJ308:AJ315)</f>
        <v>0</v>
      </c>
      <c r="AL308" s="538">
        <f t="shared" si="135"/>
        <v>0</v>
      </c>
      <c r="AM308" s="542">
        <v>70000000</v>
      </c>
      <c r="AN308" s="1824">
        <f>+SUM(AM308:AM315)</f>
        <v>1380000000</v>
      </c>
      <c r="AO308" s="167">
        <f t="shared" si="136"/>
        <v>0.7</v>
      </c>
      <c r="AP308" s="1008">
        <f t="shared" si="137"/>
        <v>100000000</v>
      </c>
      <c r="AQ308" s="18" t="str">
        <f t="shared" ref="AQ308:AQ328" si="144">+IF(Y308=AP308,"Bien","Error")</f>
        <v>Bien</v>
      </c>
      <c r="AR308" s="1150" t="s">
        <v>1235</v>
      </c>
    </row>
    <row r="309" spans="1:44" ht="25.5" x14ac:dyDescent="0.25">
      <c r="A309" s="1698"/>
      <c r="B309" s="1509"/>
      <c r="C309" s="1771"/>
      <c r="D309" s="1771"/>
      <c r="E309" s="1793"/>
      <c r="F309" s="1796"/>
      <c r="G309" s="1799"/>
      <c r="H309" s="1799"/>
      <c r="I309" s="1799"/>
      <c r="J309" s="1828"/>
      <c r="K309" s="442" t="s">
        <v>678</v>
      </c>
      <c r="L309" s="443" t="s">
        <v>453</v>
      </c>
      <c r="M309" s="443">
        <v>0</v>
      </c>
      <c r="N309" s="443">
        <v>150</v>
      </c>
      <c r="O309" s="544">
        <v>20</v>
      </c>
      <c r="P309" s="545">
        <v>90</v>
      </c>
      <c r="Q309" s="545">
        <v>20</v>
      </c>
      <c r="R309" s="545">
        <v>20</v>
      </c>
      <c r="S309" s="546"/>
      <c r="T309" s="547">
        <f t="shared" si="142"/>
        <v>150</v>
      </c>
      <c r="U309" s="444">
        <v>20000000</v>
      </c>
      <c r="V309" s="548">
        <v>90000000</v>
      </c>
      <c r="W309" s="548">
        <v>20000000</v>
      </c>
      <c r="X309" s="548">
        <v>20000000</v>
      </c>
      <c r="Y309" s="444">
        <f t="shared" si="143"/>
        <v>150000000</v>
      </c>
      <c r="Z309" s="1825"/>
      <c r="AA309" s="444">
        <v>100000000</v>
      </c>
      <c r="AB309" s="1481"/>
      <c r="AC309" s="549">
        <f t="shared" si="139"/>
        <v>0.66666666666666663</v>
      </c>
      <c r="AD309" s="550"/>
      <c r="AE309" s="1481"/>
      <c r="AF309" s="549">
        <f t="shared" si="133"/>
        <v>0</v>
      </c>
      <c r="AG309" s="550"/>
      <c r="AH309" s="1825"/>
      <c r="AI309" s="549">
        <f t="shared" si="134"/>
        <v>0</v>
      </c>
      <c r="AJ309" s="550"/>
      <c r="AK309" s="1825"/>
      <c r="AL309" s="549">
        <f t="shared" si="135"/>
        <v>0</v>
      </c>
      <c r="AM309" s="444">
        <v>50000000</v>
      </c>
      <c r="AN309" s="1825"/>
      <c r="AO309" s="168">
        <f t="shared" si="136"/>
        <v>0.33333333333333331</v>
      </c>
      <c r="AP309" s="1008">
        <f t="shared" si="137"/>
        <v>150000000</v>
      </c>
      <c r="AQ309" s="18" t="str">
        <f t="shared" si="144"/>
        <v>Bien</v>
      </c>
      <c r="AR309" s="1150" t="s">
        <v>1235</v>
      </c>
    </row>
    <row r="310" spans="1:44" ht="38.25" x14ac:dyDescent="0.25">
      <c r="A310" s="1698"/>
      <c r="B310" s="1509"/>
      <c r="C310" s="1771"/>
      <c r="D310" s="1771"/>
      <c r="E310" s="1793"/>
      <c r="F310" s="1796"/>
      <c r="G310" s="1776" t="s">
        <v>723</v>
      </c>
      <c r="H310" s="1779">
        <v>0</v>
      </c>
      <c r="I310" s="1779">
        <v>40</v>
      </c>
      <c r="J310" s="1828"/>
      <c r="K310" s="442" t="s">
        <v>454</v>
      </c>
      <c r="L310" s="443" t="s">
        <v>724</v>
      </c>
      <c r="M310" s="443">
        <v>0</v>
      </c>
      <c r="N310" s="551">
        <v>4</v>
      </c>
      <c r="O310" s="552">
        <v>0.15</v>
      </c>
      <c r="P310" s="549">
        <v>0.5</v>
      </c>
      <c r="Q310" s="549">
        <v>0.15</v>
      </c>
      <c r="R310" s="549">
        <v>0.1</v>
      </c>
      <c r="S310" s="546"/>
      <c r="T310" s="553">
        <f t="shared" si="142"/>
        <v>0.9</v>
      </c>
      <c r="U310" s="548">
        <f>900000000*15%</f>
        <v>135000000</v>
      </c>
      <c r="V310" s="548">
        <f>900000000*50%</f>
        <v>450000000</v>
      </c>
      <c r="W310" s="548">
        <f t="shared" ref="W310" si="145">900000000*15%</f>
        <v>135000000</v>
      </c>
      <c r="X310" s="548">
        <f>900000000*10%</f>
        <v>90000000</v>
      </c>
      <c r="Y310" s="444">
        <f t="shared" si="143"/>
        <v>810000000</v>
      </c>
      <c r="Z310" s="1825"/>
      <c r="AA310" s="444">
        <v>200000000</v>
      </c>
      <c r="AB310" s="1481"/>
      <c r="AC310" s="549">
        <f t="shared" si="139"/>
        <v>0.24691358024691357</v>
      </c>
      <c r="AD310" s="550"/>
      <c r="AE310" s="1481"/>
      <c r="AF310" s="549">
        <f t="shared" si="133"/>
        <v>0</v>
      </c>
      <c r="AG310" s="550"/>
      <c r="AH310" s="1825"/>
      <c r="AI310" s="549">
        <f t="shared" si="134"/>
        <v>0</v>
      </c>
      <c r="AJ310" s="550"/>
      <c r="AK310" s="1825"/>
      <c r="AL310" s="549">
        <f t="shared" si="135"/>
        <v>0</v>
      </c>
      <c r="AM310" s="444">
        <v>610000000</v>
      </c>
      <c r="AN310" s="1825"/>
      <c r="AO310" s="168">
        <f t="shared" si="136"/>
        <v>0.75308641975308643</v>
      </c>
      <c r="AP310" s="1008">
        <f t="shared" si="137"/>
        <v>810000000</v>
      </c>
      <c r="AQ310" s="18" t="str">
        <f t="shared" si="144"/>
        <v>Bien</v>
      </c>
      <c r="AR310" s="1150" t="s">
        <v>1235</v>
      </c>
    </row>
    <row r="311" spans="1:44" ht="38.25" x14ac:dyDescent="0.25">
      <c r="A311" s="1698"/>
      <c r="B311" s="1509"/>
      <c r="C311" s="1771"/>
      <c r="D311" s="1771"/>
      <c r="E311" s="1793"/>
      <c r="F311" s="1796"/>
      <c r="G311" s="1777"/>
      <c r="H311" s="1780"/>
      <c r="I311" s="1782"/>
      <c r="J311" s="1828"/>
      <c r="K311" s="442" t="s">
        <v>725</v>
      </c>
      <c r="L311" s="443" t="s">
        <v>726</v>
      </c>
      <c r="M311" s="443">
        <v>0</v>
      </c>
      <c r="N311" s="443">
        <v>20</v>
      </c>
      <c r="O311" s="544">
        <v>3</v>
      </c>
      <c r="P311" s="545">
        <v>12</v>
      </c>
      <c r="Q311" s="545">
        <v>3</v>
      </c>
      <c r="R311" s="545">
        <v>2</v>
      </c>
      <c r="S311" s="546"/>
      <c r="T311" s="547">
        <f t="shared" si="142"/>
        <v>20</v>
      </c>
      <c r="U311" s="548">
        <v>30000000</v>
      </c>
      <c r="V311" s="548">
        <v>120000000</v>
      </c>
      <c r="W311" s="548">
        <v>30000000</v>
      </c>
      <c r="X311" s="548">
        <v>20000000</v>
      </c>
      <c r="Y311" s="444">
        <f t="shared" si="143"/>
        <v>200000000</v>
      </c>
      <c r="Z311" s="1825"/>
      <c r="AA311" s="444">
        <v>100000000</v>
      </c>
      <c r="AB311" s="1481"/>
      <c r="AC311" s="549">
        <f t="shared" si="139"/>
        <v>0.5</v>
      </c>
      <c r="AD311" s="550"/>
      <c r="AE311" s="1481"/>
      <c r="AF311" s="549">
        <f t="shared" si="133"/>
        <v>0</v>
      </c>
      <c r="AG311" s="550"/>
      <c r="AH311" s="1825"/>
      <c r="AI311" s="549">
        <f t="shared" si="134"/>
        <v>0</v>
      </c>
      <c r="AJ311" s="550"/>
      <c r="AK311" s="1825"/>
      <c r="AL311" s="549">
        <f t="shared" si="135"/>
        <v>0</v>
      </c>
      <c r="AM311" s="444">
        <v>100000000</v>
      </c>
      <c r="AN311" s="1825"/>
      <c r="AO311" s="168">
        <f t="shared" si="136"/>
        <v>0.5</v>
      </c>
      <c r="AP311" s="1008">
        <f t="shared" si="137"/>
        <v>200000000</v>
      </c>
      <c r="AQ311" s="18" t="str">
        <f t="shared" si="144"/>
        <v>Bien</v>
      </c>
      <c r="AR311" s="1150" t="s">
        <v>1235</v>
      </c>
    </row>
    <row r="312" spans="1:44" ht="44.25" customHeight="1" x14ac:dyDescent="0.25">
      <c r="A312" s="1698"/>
      <c r="B312" s="1509"/>
      <c r="C312" s="1771"/>
      <c r="D312" s="1771"/>
      <c r="E312" s="1793"/>
      <c r="F312" s="1796"/>
      <c r="G312" s="1777"/>
      <c r="H312" s="1780"/>
      <c r="I312" s="1782"/>
      <c r="J312" s="1828"/>
      <c r="K312" s="442" t="s">
        <v>727</v>
      </c>
      <c r="L312" s="535" t="s">
        <v>728</v>
      </c>
      <c r="M312" s="535">
        <v>0</v>
      </c>
      <c r="N312" s="535">
        <v>15</v>
      </c>
      <c r="O312" s="544">
        <v>1</v>
      </c>
      <c r="P312" s="545">
        <v>10</v>
      </c>
      <c r="Q312" s="545">
        <v>2</v>
      </c>
      <c r="R312" s="545">
        <v>2</v>
      </c>
      <c r="S312" s="546"/>
      <c r="T312" s="554">
        <f t="shared" si="142"/>
        <v>15</v>
      </c>
      <c r="U312" s="548">
        <v>5000000</v>
      </c>
      <c r="V312" s="548">
        <v>50000000</v>
      </c>
      <c r="W312" s="548">
        <v>10000000</v>
      </c>
      <c r="X312" s="548">
        <v>10000000</v>
      </c>
      <c r="Y312" s="444">
        <f t="shared" si="143"/>
        <v>75000000</v>
      </c>
      <c r="Z312" s="1825"/>
      <c r="AA312" s="444">
        <v>25000000</v>
      </c>
      <c r="AB312" s="1481"/>
      <c r="AC312" s="549">
        <f t="shared" si="139"/>
        <v>0.33333333333333331</v>
      </c>
      <c r="AD312" s="550"/>
      <c r="AE312" s="1481"/>
      <c r="AF312" s="549">
        <f t="shared" si="133"/>
        <v>0</v>
      </c>
      <c r="AG312" s="550"/>
      <c r="AH312" s="1825"/>
      <c r="AI312" s="549">
        <f t="shared" si="134"/>
        <v>0</v>
      </c>
      <c r="AJ312" s="550"/>
      <c r="AK312" s="1825"/>
      <c r="AL312" s="549">
        <f t="shared" si="135"/>
        <v>0</v>
      </c>
      <c r="AM312" s="444">
        <v>50000000</v>
      </c>
      <c r="AN312" s="1825"/>
      <c r="AO312" s="168">
        <f t="shared" si="136"/>
        <v>0.66666666666666663</v>
      </c>
      <c r="AP312" s="1008">
        <f t="shared" si="137"/>
        <v>75000000</v>
      </c>
      <c r="AQ312" s="18" t="str">
        <f t="shared" si="144"/>
        <v>Bien</v>
      </c>
      <c r="AR312" s="1150" t="s">
        <v>1235</v>
      </c>
    </row>
    <row r="313" spans="1:44" ht="51" x14ac:dyDescent="0.25">
      <c r="A313" s="1698"/>
      <c r="B313" s="1509"/>
      <c r="C313" s="1771"/>
      <c r="D313" s="1771"/>
      <c r="E313" s="1793"/>
      <c r="F313" s="1796"/>
      <c r="G313" s="1777"/>
      <c r="H313" s="1780"/>
      <c r="I313" s="1782"/>
      <c r="J313" s="1828"/>
      <c r="K313" s="442" t="s">
        <v>679</v>
      </c>
      <c r="L313" s="443" t="s">
        <v>680</v>
      </c>
      <c r="M313" s="443">
        <v>0</v>
      </c>
      <c r="N313" s="443">
        <v>1</v>
      </c>
      <c r="O313" s="544">
        <v>0</v>
      </c>
      <c r="P313" s="545">
        <v>0.2</v>
      </c>
      <c r="Q313" s="545">
        <v>0.4</v>
      </c>
      <c r="R313" s="545">
        <v>0.4</v>
      </c>
      <c r="S313" s="546"/>
      <c r="T313" s="554">
        <f t="shared" si="142"/>
        <v>1</v>
      </c>
      <c r="U313" s="548">
        <v>0</v>
      </c>
      <c r="V313" s="548">
        <v>80000000</v>
      </c>
      <c r="W313" s="548">
        <v>160000000</v>
      </c>
      <c r="X313" s="548">
        <v>160000000</v>
      </c>
      <c r="Y313" s="444">
        <f t="shared" si="143"/>
        <v>400000000</v>
      </c>
      <c r="Z313" s="1825"/>
      <c r="AA313" s="444">
        <v>100000000</v>
      </c>
      <c r="AB313" s="1481"/>
      <c r="AC313" s="549">
        <f t="shared" si="139"/>
        <v>0.25</v>
      </c>
      <c r="AD313" s="550"/>
      <c r="AE313" s="1481"/>
      <c r="AF313" s="549"/>
      <c r="AG313" s="550"/>
      <c r="AH313" s="1825"/>
      <c r="AI313" s="549"/>
      <c r="AJ313" s="550"/>
      <c r="AK313" s="1825"/>
      <c r="AL313" s="549"/>
      <c r="AM313" s="444">
        <v>300000000</v>
      </c>
      <c r="AN313" s="1825"/>
      <c r="AO313" s="168">
        <f t="shared" si="136"/>
        <v>0.75</v>
      </c>
      <c r="AP313" s="1008">
        <f t="shared" si="137"/>
        <v>400000000</v>
      </c>
      <c r="AQ313" s="18" t="str">
        <f t="shared" si="144"/>
        <v>Bien</v>
      </c>
      <c r="AR313" s="1150" t="s">
        <v>1236</v>
      </c>
    </row>
    <row r="314" spans="1:44" ht="63.75" x14ac:dyDescent="0.25">
      <c r="A314" s="1698"/>
      <c r="B314" s="1509"/>
      <c r="C314" s="1771"/>
      <c r="D314" s="1771"/>
      <c r="E314" s="1793"/>
      <c r="F314" s="1796"/>
      <c r="G314" s="1777"/>
      <c r="H314" s="1780"/>
      <c r="I314" s="1782"/>
      <c r="J314" s="1828"/>
      <c r="K314" s="442" t="s">
        <v>1161</v>
      </c>
      <c r="L314" s="443" t="s">
        <v>681</v>
      </c>
      <c r="M314" s="443">
        <v>0</v>
      </c>
      <c r="N314" s="443">
        <v>1</v>
      </c>
      <c r="O314" s="544">
        <v>0</v>
      </c>
      <c r="P314" s="545">
        <v>1</v>
      </c>
      <c r="Q314" s="545">
        <v>0</v>
      </c>
      <c r="R314" s="545">
        <v>0</v>
      </c>
      <c r="S314" s="546"/>
      <c r="T314" s="554">
        <f t="shared" si="142"/>
        <v>1</v>
      </c>
      <c r="U314" s="548">
        <v>0</v>
      </c>
      <c r="V314" s="548">
        <v>150000000</v>
      </c>
      <c r="W314" s="548">
        <v>0</v>
      </c>
      <c r="X314" s="548">
        <v>0</v>
      </c>
      <c r="Y314" s="444">
        <f t="shared" si="143"/>
        <v>150000000</v>
      </c>
      <c r="Z314" s="1825"/>
      <c r="AA314" s="444">
        <v>50000000</v>
      </c>
      <c r="AB314" s="1481"/>
      <c r="AC314" s="549">
        <f t="shared" si="139"/>
        <v>0.33333333333333331</v>
      </c>
      <c r="AD314" s="550"/>
      <c r="AE314" s="1481"/>
      <c r="AF314" s="549"/>
      <c r="AG314" s="550"/>
      <c r="AH314" s="1825"/>
      <c r="AI314" s="549"/>
      <c r="AJ314" s="550"/>
      <c r="AK314" s="1825"/>
      <c r="AL314" s="549"/>
      <c r="AM314" s="444">
        <v>100000000</v>
      </c>
      <c r="AN314" s="1825"/>
      <c r="AO314" s="168">
        <f t="shared" si="136"/>
        <v>0.66666666666666663</v>
      </c>
      <c r="AP314" s="1008">
        <f t="shared" si="137"/>
        <v>150000000</v>
      </c>
      <c r="AQ314" s="18" t="str">
        <f t="shared" si="144"/>
        <v>Bien</v>
      </c>
      <c r="AR314" s="1150" t="s">
        <v>1235</v>
      </c>
    </row>
    <row r="315" spans="1:44" ht="26.25" thickBot="1" x14ac:dyDescent="0.3">
      <c r="A315" s="1699"/>
      <c r="B315" s="1791"/>
      <c r="C315" s="1771"/>
      <c r="D315" s="1771"/>
      <c r="E315" s="1794"/>
      <c r="F315" s="1797"/>
      <c r="G315" s="1778"/>
      <c r="H315" s="1781"/>
      <c r="I315" s="1783"/>
      <c r="J315" s="1829"/>
      <c r="K315" s="442" t="s">
        <v>455</v>
      </c>
      <c r="L315" s="443" t="s">
        <v>347</v>
      </c>
      <c r="M315" s="443">
        <v>0</v>
      </c>
      <c r="N315" s="555">
        <v>1</v>
      </c>
      <c r="O315" s="556">
        <v>0.2</v>
      </c>
      <c r="P315" s="557">
        <v>0.8</v>
      </c>
      <c r="Q315" s="557">
        <v>0</v>
      </c>
      <c r="R315" s="557">
        <v>0</v>
      </c>
      <c r="S315" s="558"/>
      <c r="T315" s="559">
        <f t="shared" si="142"/>
        <v>1</v>
      </c>
      <c r="U315" s="560">
        <f>150000000*20%</f>
        <v>30000000</v>
      </c>
      <c r="V315" s="560">
        <f>150000000*80%</f>
        <v>120000000</v>
      </c>
      <c r="W315" s="560">
        <v>0</v>
      </c>
      <c r="X315" s="560">
        <v>0</v>
      </c>
      <c r="Y315" s="561">
        <f t="shared" si="143"/>
        <v>150000000</v>
      </c>
      <c r="Z315" s="1826"/>
      <c r="AA315" s="561">
        <v>50000000</v>
      </c>
      <c r="AB315" s="1859"/>
      <c r="AC315" s="557">
        <f t="shared" si="139"/>
        <v>0.33333333333333331</v>
      </c>
      <c r="AD315" s="562"/>
      <c r="AE315" s="1859"/>
      <c r="AF315" s="557">
        <f>+AD315/Y315</f>
        <v>0</v>
      </c>
      <c r="AG315" s="562"/>
      <c r="AH315" s="1826"/>
      <c r="AI315" s="557">
        <f>+AG315/Y315</f>
        <v>0</v>
      </c>
      <c r="AJ315" s="562"/>
      <c r="AK315" s="1826"/>
      <c r="AL315" s="557">
        <f>+AJ315/Y315</f>
        <v>0</v>
      </c>
      <c r="AM315" s="561">
        <v>100000000</v>
      </c>
      <c r="AN315" s="1826"/>
      <c r="AO315" s="169">
        <f t="shared" si="136"/>
        <v>0.66666666666666663</v>
      </c>
      <c r="AP315" s="1008">
        <f t="shared" si="137"/>
        <v>150000000</v>
      </c>
      <c r="AQ315" s="18" t="str">
        <f t="shared" si="144"/>
        <v>Bien</v>
      </c>
      <c r="AR315" s="1150" t="s">
        <v>1235</v>
      </c>
    </row>
    <row r="316" spans="1:44" s="288" customFormat="1" ht="45.75" customHeight="1" thickBot="1" x14ac:dyDescent="0.3">
      <c r="A316" s="2044" t="s">
        <v>1032</v>
      </c>
      <c r="B316" s="1237" t="s">
        <v>456</v>
      </c>
      <c r="C316" s="2229">
        <v>4503</v>
      </c>
      <c r="D316" s="2229" t="s">
        <v>1108</v>
      </c>
      <c r="E316" s="1239" t="s">
        <v>457</v>
      </c>
      <c r="F316" s="1242" t="s">
        <v>782</v>
      </c>
      <c r="G316" s="1245" t="s">
        <v>783</v>
      </c>
      <c r="H316" s="1248">
        <v>0.55000000000000004</v>
      </c>
      <c r="I316" s="1250">
        <v>0.75</v>
      </c>
      <c r="J316" s="1252" t="s">
        <v>458</v>
      </c>
      <c r="K316" s="290" t="s">
        <v>841</v>
      </c>
      <c r="L316" s="291" t="s">
        <v>459</v>
      </c>
      <c r="M316" s="292">
        <v>0.55000000000000004</v>
      </c>
      <c r="N316" s="293">
        <v>0.75</v>
      </c>
      <c r="O316" s="294">
        <v>0.2</v>
      </c>
      <c r="P316" s="294">
        <v>0.1</v>
      </c>
      <c r="Q316" s="294">
        <v>0.1</v>
      </c>
      <c r="R316" s="294">
        <v>0.1</v>
      </c>
      <c r="S316" s="295"/>
      <c r="T316" s="296">
        <f t="shared" ref="T316:T322" si="146">+SUM(O316:R316)</f>
        <v>0.5</v>
      </c>
      <c r="U316" s="297">
        <v>260100000</v>
      </c>
      <c r="V316" s="297">
        <v>150000000</v>
      </c>
      <c r="W316" s="297">
        <v>200000000</v>
      </c>
      <c r="X316" s="297">
        <v>250000000</v>
      </c>
      <c r="Y316" s="298">
        <f t="shared" si="143"/>
        <v>860100000</v>
      </c>
      <c r="Z316" s="1255">
        <f>+SUM(Y316:Y318)</f>
        <v>1393342582.8557439</v>
      </c>
      <c r="AA316" s="299">
        <v>860100000</v>
      </c>
      <c r="AB316" s="1258">
        <f>+SUM(AA316:AA318)</f>
        <v>1393342582.8557439</v>
      </c>
      <c r="AC316" s="300">
        <f t="shared" si="139"/>
        <v>1</v>
      </c>
      <c r="AD316" s="299"/>
      <c r="AE316" s="1258">
        <f>+SUM(AD316:AD318)</f>
        <v>0</v>
      </c>
      <c r="AF316" s="300">
        <f t="shared" ref="AF316:AF322" si="147">+AD316/Y316</f>
        <v>0</v>
      </c>
      <c r="AG316" s="301"/>
      <c r="AH316" s="1255">
        <f>+SUM(AG316:AG318)</f>
        <v>0</v>
      </c>
      <c r="AI316" s="300">
        <f t="shared" ref="AI316:AI322" si="148">+AG316/Y316</f>
        <v>0</v>
      </c>
      <c r="AJ316" s="301"/>
      <c r="AK316" s="1255">
        <f>+SUM(AJ316:AJ318)</f>
        <v>0</v>
      </c>
      <c r="AL316" s="300">
        <f t="shared" ref="AL316:AL322" si="149">+AJ316/Y316</f>
        <v>0</v>
      </c>
      <c r="AM316" s="301"/>
      <c r="AN316" s="1255">
        <f>+SUM(AM316:AM318)</f>
        <v>0</v>
      </c>
      <c r="AO316" s="300">
        <f t="shared" si="136"/>
        <v>0</v>
      </c>
      <c r="AP316" s="1009">
        <f>AA316</f>
        <v>860100000</v>
      </c>
      <c r="AQ316" s="288" t="str">
        <f t="shared" si="144"/>
        <v>Bien</v>
      </c>
      <c r="AR316" s="1157" t="s">
        <v>1237</v>
      </c>
    </row>
    <row r="317" spans="1:44" s="288" customFormat="1" ht="30.75" thickBot="1" x14ac:dyDescent="0.3">
      <c r="A317" s="2045"/>
      <c r="B317" s="1238"/>
      <c r="C317" s="2229"/>
      <c r="D317" s="2229"/>
      <c r="E317" s="1240"/>
      <c r="F317" s="1243"/>
      <c r="G317" s="1246"/>
      <c r="H317" s="1249"/>
      <c r="I317" s="1251"/>
      <c r="J317" s="1253"/>
      <c r="K317" s="302" t="s">
        <v>842</v>
      </c>
      <c r="L317" s="291" t="s">
        <v>784</v>
      </c>
      <c r="M317" s="337">
        <v>0.25</v>
      </c>
      <c r="N317" s="303">
        <v>0.5</v>
      </c>
      <c r="O317" s="338">
        <v>0.3</v>
      </c>
      <c r="P317" s="338">
        <v>0.36</v>
      </c>
      <c r="Q317" s="338">
        <v>0.43</v>
      </c>
      <c r="R317" s="338">
        <v>0.5</v>
      </c>
      <c r="S317" s="295"/>
      <c r="T317" s="305">
        <f t="shared" si="146"/>
        <v>1.5899999999999999</v>
      </c>
      <c r="U317" s="297">
        <v>113163368</v>
      </c>
      <c r="V317" s="297">
        <f>+U317*1.02</f>
        <v>115426635.36</v>
      </c>
      <c r="W317" s="297">
        <f t="shared" ref="W317:X317" si="150">+V317*1.02</f>
        <v>117735168.06720001</v>
      </c>
      <c r="X317" s="297">
        <f t="shared" si="150"/>
        <v>120089871.42854401</v>
      </c>
      <c r="Y317" s="298">
        <f t="shared" si="143"/>
        <v>466415042.855744</v>
      </c>
      <c r="Z317" s="1256"/>
      <c r="AA317" s="299">
        <f>+Y317</f>
        <v>466415042.855744</v>
      </c>
      <c r="AB317" s="1259"/>
      <c r="AC317" s="300"/>
      <c r="AD317" s="299"/>
      <c r="AE317" s="1259"/>
      <c r="AF317" s="300"/>
      <c r="AG317" s="301"/>
      <c r="AH317" s="1256"/>
      <c r="AI317" s="300"/>
      <c r="AJ317" s="301"/>
      <c r="AK317" s="1256"/>
      <c r="AL317" s="300"/>
      <c r="AM317" s="301"/>
      <c r="AN317" s="1256"/>
      <c r="AO317" s="300"/>
      <c r="AP317" s="1009">
        <f>AA317</f>
        <v>466415042.855744</v>
      </c>
      <c r="AQ317" s="288" t="str">
        <f t="shared" si="144"/>
        <v>Bien</v>
      </c>
      <c r="AR317" s="1157" t="s">
        <v>1237</v>
      </c>
    </row>
    <row r="318" spans="1:44" s="288" customFormat="1" ht="45.75" thickBot="1" x14ac:dyDescent="0.3">
      <c r="A318" s="2045"/>
      <c r="B318" s="1238"/>
      <c r="C318" s="2229"/>
      <c r="D318" s="2229"/>
      <c r="E318" s="1241"/>
      <c r="F318" s="1244"/>
      <c r="G318" s="1247"/>
      <c r="H318" s="1249"/>
      <c r="I318" s="1251"/>
      <c r="J318" s="1254"/>
      <c r="K318" s="306" t="s">
        <v>682</v>
      </c>
      <c r="L318" s="291" t="s">
        <v>785</v>
      </c>
      <c r="M318" s="307">
        <v>12</v>
      </c>
      <c r="N318" s="308">
        <v>28</v>
      </c>
      <c r="O318" s="304">
        <v>13</v>
      </c>
      <c r="P318" s="304">
        <v>1</v>
      </c>
      <c r="Q318" s="304">
        <v>1</v>
      </c>
      <c r="R318" s="304"/>
      <c r="S318" s="295"/>
      <c r="T318" s="308">
        <f t="shared" si="146"/>
        <v>15</v>
      </c>
      <c r="U318" s="297">
        <v>53827540</v>
      </c>
      <c r="V318" s="297">
        <v>6000000</v>
      </c>
      <c r="W318" s="297">
        <v>7000000</v>
      </c>
      <c r="X318" s="297">
        <v>0</v>
      </c>
      <c r="Y318" s="298">
        <f t="shared" si="143"/>
        <v>66827540</v>
      </c>
      <c r="Z318" s="1257"/>
      <c r="AA318" s="297">
        <f>U318+V318+W318</f>
        <v>66827540</v>
      </c>
      <c r="AB318" s="1260"/>
      <c r="AC318" s="300">
        <f t="shared" si="139"/>
        <v>1</v>
      </c>
      <c r="AD318" s="301"/>
      <c r="AE318" s="1260"/>
      <c r="AF318" s="300">
        <f t="shared" si="147"/>
        <v>0</v>
      </c>
      <c r="AG318" s="301"/>
      <c r="AH318" s="1257"/>
      <c r="AI318" s="300">
        <f t="shared" si="148"/>
        <v>0</v>
      </c>
      <c r="AJ318" s="301"/>
      <c r="AK318" s="1257"/>
      <c r="AL318" s="300">
        <f t="shared" si="149"/>
        <v>0</v>
      </c>
      <c r="AM318" s="301"/>
      <c r="AN318" s="1257"/>
      <c r="AO318" s="300">
        <f t="shared" si="136"/>
        <v>0</v>
      </c>
      <c r="AP318" s="1009">
        <f t="shared" ref="AP318:AP328" si="151">AA318</f>
        <v>66827540</v>
      </c>
      <c r="AQ318" s="288" t="str">
        <f t="shared" si="144"/>
        <v>Bien</v>
      </c>
      <c r="AR318" s="1157" t="s">
        <v>1237</v>
      </c>
    </row>
    <row r="319" spans="1:44" s="288" customFormat="1" ht="45.75" thickBot="1" x14ac:dyDescent="0.3">
      <c r="A319" s="2045"/>
      <c r="B319" s="1238"/>
      <c r="C319" s="2229"/>
      <c r="D319" s="2229"/>
      <c r="E319" s="1261" t="s">
        <v>460</v>
      </c>
      <c r="F319" s="1242" t="s">
        <v>786</v>
      </c>
      <c r="G319" s="1245" t="s">
        <v>1266</v>
      </c>
      <c r="H319" s="1248">
        <v>0.18</v>
      </c>
      <c r="I319" s="1250">
        <v>0.3</v>
      </c>
      <c r="J319" s="1262" t="s">
        <v>461</v>
      </c>
      <c r="K319" s="306" t="s">
        <v>787</v>
      </c>
      <c r="L319" s="291" t="s">
        <v>788</v>
      </c>
      <c r="M319" s="307">
        <v>50</v>
      </c>
      <c r="N319" s="308">
        <v>70</v>
      </c>
      <c r="O319" s="304">
        <v>5</v>
      </c>
      <c r="P319" s="304">
        <v>5</v>
      </c>
      <c r="Q319" s="304">
        <v>5</v>
      </c>
      <c r="R319" s="304">
        <v>5</v>
      </c>
      <c r="S319" s="295"/>
      <c r="T319" s="308">
        <f t="shared" si="146"/>
        <v>20</v>
      </c>
      <c r="U319" s="297">
        <v>425700000</v>
      </c>
      <c r="V319" s="297">
        <v>500000000</v>
      </c>
      <c r="W319" s="297">
        <v>550000000</v>
      </c>
      <c r="X319" s="297">
        <v>600000000</v>
      </c>
      <c r="Y319" s="298">
        <f t="shared" si="143"/>
        <v>2075700000</v>
      </c>
      <c r="Z319" s="1819">
        <f>+SUM(Y319:Y321)</f>
        <v>2975700000</v>
      </c>
      <c r="AA319" s="297">
        <f>+V319+W319+X319+U319</f>
        <v>2075700000</v>
      </c>
      <c r="AB319" s="2127">
        <f>+SUM(AA319:AA321)</f>
        <v>2975700000</v>
      </c>
      <c r="AC319" s="300">
        <f t="shared" si="139"/>
        <v>1</v>
      </c>
      <c r="AD319" s="301"/>
      <c r="AE319" s="2127">
        <f>+SUM(AD319:AD321)</f>
        <v>0</v>
      </c>
      <c r="AF319" s="300">
        <f t="shared" si="147"/>
        <v>0</v>
      </c>
      <c r="AG319" s="301"/>
      <c r="AH319" s="1819">
        <f>+SUM(AG319:AG321)</f>
        <v>0</v>
      </c>
      <c r="AI319" s="300">
        <f t="shared" si="148"/>
        <v>0</v>
      </c>
      <c r="AJ319" s="301"/>
      <c r="AK319" s="1819">
        <f>+SUM(AJ319:AJ321)</f>
        <v>0</v>
      </c>
      <c r="AL319" s="300">
        <f t="shared" si="149"/>
        <v>0</v>
      </c>
      <c r="AM319" s="301"/>
      <c r="AN319" s="1819">
        <f>+SUM(AM319:AM321)</f>
        <v>0</v>
      </c>
      <c r="AO319" s="300">
        <f t="shared" si="136"/>
        <v>0</v>
      </c>
      <c r="AP319" s="1009">
        <f t="shared" si="151"/>
        <v>2075700000</v>
      </c>
      <c r="AQ319" s="288" t="str">
        <f t="shared" si="144"/>
        <v>Bien</v>
      </c>
      <c r="AR319" s="1157" t="s">
        <v>1237</v>
      </c>
    </row>
    <row r="320" spans="1:44" s="288" customFormat="1" ht="45.75" thickBot="1" x14ac:dyDescent="0.3">
      <c r="A320" s="2045"/>
      <c r="B320" s="1238"/>
      <c r="C320" s="2229"/>
      <c r="D320" s="2229"/>
      <c r="E320" s="1240"/>
      <c r="F320" s="1243"/>
      <c r="G320" s="1246"/>
      <c r="H320" s="1249"/>
      <c r="I320" s="1251"/>
      <c r="J320" s="1263"/>
      <c r="K320" s="306" t="s">
        <v>789</v>
      </c>
      <c r="L320" s="291" t="s">
        <v>462</v>
      </c>
      <c r="M320" s="307">
        <v>50</v>
      </c>
      <c r="N320" s="308">
        <v>100</v>
      </c>
      <c r="O320" s="304">
        <v>20</v>
      </c>
      <c r="P320" s="304">
        <v>10</v>
      </c>
      <c r="Q320" s="304">
        <v>10</v>
      </c>
      <c r="R320" s="304">
        <v>10</v>
      </c>
      <c r="S320" s="295"/>
      <c r="T320" s="308">
        <f t="shared" si="146"/>
        <v>50</v>
      </c>
      <c r="U320" s="297">
        <v>200000000</v>
      </c>
      <c r="V320" s="297">
        <v>150000000</v>
      </c>
      <c r="W320" s="297">
        <v>200000000</v>
      </c>
      <c r="X320" s="297">
        <v>250000000</v>
      </c>
      <c r="Y320" s="298">
        <f t="shared" si="143"/>
        <v>800000000</v>
      </c>
      <c r="Z320" s="1256"/>
      <c r="AA320" s="297">
        <f>+V320+W320+X320+U320</f>
        <v>800000000</v>
      </c>
      <c r="AB320" s="1259"/>
      <c r="AC320" s="300">
        <f t="shared" si="139"/>
        <v>1</v>
      </c>
      <c r="AD320" s="301"/>
      <c r="AE320" s="1259"/>
      <c r="AF320" s="300">
        <f t="shared" si="147"/>
        <v>0</v>
      </c>
      <c r="AG320" s="301"/>
      <c r="AH320" s="1256"/>
      <c r="AI320" s="300">
        <f t="shared" si="148"/>
        <v>0</v>
      </c>
      <c r="AJ320" s="301"/>
      <c r="AK320" s="1256"/>
      <c r="AL320" s="300">
        <f t="shared" si="149"/>
        <v>0</v>
      </c>
      <c r="AM320" s="301"/>
      <c r="AN320" s="1256"/>
      <c r="AO320" s="300">
        <f t="shared" si="136"/>
        <v>0</v>
      </c>
      <c r="AP320" s="1009">
        <f t="shared" si="151"/>
        <v>800000000</v>
      </c>
      <c r="AQ320" s="288" t="str">
        <f t="shared" si="144"/>
        <v>Bien</v>
      </c>
      <c r="AR320" s="1157" t="s">
        <v>1237</v>
      </c>
    </row>
    <row r="321" spans="1:44" s="288" customFormat="1" ht="45.75" thickBot="1" x14ac:dyDescent="0.3">
      <c r="A321" s="2045"/>
      <c r="B321" s="1238"/>
      <c r="C321" s="2229"/>
      <c r="D321" s="2229"/>
      <c r="E321" s="1240"/>
      <c r="F321" s="1244"/>
      <c r="G321" s="1247"/>
      <c r="H321" s="1249"/>
      <c r="I321" s="1251"/>
      <c r="J321" s="1263"/>
      <c r="K321" s="306" t="s">
        <v>1162</v>
      </c>
      <c r="L321" s="291" t="s">
        <v>463</v>
      </c>
      <c r="M321" s="307">
        <v>0</v>
      </c>
      <c r="N321" s="308">
        <v>4</v>
      </c>
      <c r="O321" s="304">
        <v>1</v>
      </c>
      <c r="P321" s="304">
        <v>1</v>
      </c>
      <c r="Q321" s="304">
        <v>1</v>
      </c>
      <c r="R321" s="304">
        <v>1</v>
      </c>
      <c r="S321" s="295"/>
      <c r="T321" s="308">
        <f t="shared" si="146"/>
        <v>4</v>
      </c>
      <c r="U321" s="297">
        <v>10000000</v>
      </c>
      <c r="V321" s="297">
        <v>20000000</v>
      </c>
      <c r="W321" s="297">
        <v>30000000</v>
      </c>
      <c r="X321" s="297">
        <v>40000000</v>
      </c>
      <c r="Y321" s="298">
        <f t="shared" si="143"/>
        <v>100000000</v>
      </c>
      <c r="Z321" s="1256"/>
      <c r="AA321" s="297">
        <v>100000000</v>
      </c>
      <c r="AB321" s="1259"/>
      <c r="AC321" s="300"/>
      <c r="AD321" s="301"/>
      <c r="AE321" s="1259"/>
      <c r="AF321" s="300">
        <f t="shared" si="147"/>
        <v>0</v>
      </c>
      <c r="AG321" s="301"/>
      <c r="AH321" s="1256"/>
      <c r="AI321" s="300">
        <f t="shared" si="148"/>
        <v>0</v>
      </c>
      <c r="AJ321" s="301"/>
      <c r="AK321" s="1256"/>
      <c r="AL321" s="300">
        <f t="shared" si="149"/>
        <v>0</v>
      </c>
      <c r="AM321" s="301"/>
      <c r="AN321" s="1256"/>
      <c r="AO321" s="300">
        <f t="shared" si="136"/>
        <v>0</v>
      </c>
      <c r="AP321" s="1009">
        <f t="shared" si="151"/>
        <v>100000000</v>
      </c>
      <c r="AQ321" s="288" t="str">
        <f t="shared" si="144"/>
        <v>Bien</v>
      </c>
      <c r="AR321" s="1157" t="s">
        <v>1237</v>
      </c>
    </row>
    <row r="322" spans="1:44" s="288" customFormat="1" ht="39.75" customHeight="1" x14ac:dyDescent="0.25">
      <c r="A322" s="2045"/>
      <c r="B322" s="1238"/>
      <c r="C322" s="2229"/>
      <c r="D322" s="2229"/>
      <c r="E322" s="1236" t="s">
        <v>464</v>
      </c>
      <c r="F322" s="1912" t="s">
        <v>790</v>
      </c>
      <c r="G322" s="1245" t="s">
        <v>783</v>
      </c>
      <c r="H322" s="1248">
        <v>0.7</v>
      </c>
      <c r="I322" s="1197">
        <v>0.8</v>
      </c>
      <c r="J322" s="1200" t="s">
        <v>465</v>
      </c>
      <c r="K322" s="309" t="s">
        <v>791</v>
      </c>
      <c r="L322" s="310" t="s">
        <v>466</v>
      </c>
      <c r="M322" s="311">
        <v>1</v>
      </c>
      <c r="N322" s="312">
        <v>60</v>
      </c>
      <c r="O322" s="304">
        <v>15</v>
      </c>
      <c r="P322" s="304">
        <v>15</v>
      </c>
      <c r="Q322" s="304">
        <v>15</v>
      </c>
      <c r="R322" s="304">
        <v>15</v>
      </c>
      <c r="S322" s="295"/>
      <c r="T322" s="312">
        <f t="shared" si="146"/>
        <v>60</v>
      </c>
      <c r="U322" s="297">
        <v>332100000</v>
      </c>
      <c r="V322" s="297">
        <v>350000000</v>
      </c>
      <c r="W322" s="297">
        <v>400000000</v>
      </c>
      <c r="X322" s="297">
        <v>450000000</v>
      </c>
      <c r="Y322" s="313">
        <f t="shared" si="143"/>
        <v>1532100000</v>
      </c>
      <c r="Z322" s="1201">
        <f>+SUM(Y322:Y328)</f>
        <v>12803612251</v>
      </c>
      <c r="AA322" s="314">
        <f>+V322+W322+X322+U322</f>
        <v>1532100000</v>
      </c>
      <c r="AB322" s="2128">
        <f>+SUM(AA322:AA328)</f>
        <v>12803612251</v>
      </c>
      <c r="AC322" s="300">
        <f t="shared" si="139"/>
        <v>1</v>
      </c>
      <c r="AD322" s="301"/>
      <c r="AE322" s="2128">
        <f>+SUM(AD322:AD328)</f>
        <v>0</v>
      </c>
      <c r="AF322" s="300">
        <f t="shared" si="147"/>
        <v>0</v>
      </c>
      <c r="AG322" s="301"/>
      <c r="AH322" s="1201">
        <f>+SUM(AG322:AG328)</f>
        <v>0</v>
      </c>
      <c r="AI322" s="300">
        <f t="shared" si="148"/>
        <v>0</v>
      </c>
      <c r="AJ322" s="301"/>
      <c r="AK322" s="1201">
        <f>+SUM(AJ322:AJ328)</f>
        <v>0</v>
      </c>
      <c r="AL322" s="300">
        <f t="shared" si="149"/>
        <v>0</v>
      </c>
      <c r="AM322" s="301"/>
      <c r="AN322" s="1201">
        <f>+SUM(AM322:AM328)</f>
        <v>0</v>
      </c>
      <c r="AO322" s="300">
        <f t="shared" si="136"/>
        <v>0</v>
      </c>
      <c r="AP322" s="1009">
        <f t="shared" si="151"/>
        <v>1532100000</v>
      </c>
      <c r="AQ322" s="288" t="str">
        <f t="shared" si="144"/>
        <v>Bien</v>
      </c>
      <c r="AR322" s="1157" t="s">
        <v>1237</v>
      </c>
    </row>
    <row r="323" spans="1:44" s="288" customFormat="1" ht="30" x14ac:dyDescent="0.25">
      <c r="A323" s="2045"/>
      <c r="B323" s="1238"/>
      <c r="C323" s="2229"/>
      <c r="D323" s="2229"/>
      <c r="E323" s="1236"/>
      <c r="F323" s="1246"/>
      <c r="G323" s="1246"/>
      <c r="H323" s="1249"/>
      <c r="I323" s="1198"/>
      <c r="J323" s="1200"/>
      <c r="K323" s="1823" t="s">
        <v>792</v>
      </c>
      <c r="L323" s="1266" t="s">
        <v>467</v>
      </c>
      <c r="M323" s="1216">
        <v>1</v>
      </c>
      <c r="N323" s="1216">
        <v>4</v>
      </c>
      <c r="O323" s="1217">
        <v>1</v>
      </c>
      <c r="P323" s="1772">
        <v>1</v>
      </c>
      <c r="Q323" s="1774">
        <v>1</v>
      </c>
      <c r="R323" s="1772">
        <v>1</v>
      </c>
      <c r="S323" s="295"/>
      <c r="T323" s="1772"/>
      <c r="U323" s="1185">
        <v>216900000</v>
      </c>
      <c r="V323" s="1185">
        <v>300000000</v>
      </c>
      <c r="W323" s="1185">
        <v>0</v>
      </c>
      <c r="X323" s="1185">
        <v>0</v>
      </c>
      <c r="Y323" s="1188">
        <f>U323+V323</f>
        <v>516900000</v>
      </c>
      <c r="Z323" s="1201"/>
      <c r="AA323" s="1191">
        <v>516900000</v>
      </c>
      <c r="AB323" s="2128"/>
      <c r="AC323" s="300"/>
      <c r="AD323" s="1194"/>
      <c r="AE323" s="2128"/>
      <c r="AF323" s="300"/>
      <c r="AG323" s="1194"/>
      <c r="AH323" s="1201"/>
      <c r="AI323" s="300"/>
      <c r="AJ323" s="1194"/>
      <c r="AK323" s="1201"/>
      <c r="AL323" s="300"/>
      <c r="AM323" s="1194"/>
      <c r="AN323" s="1201"/>
      <c r="AO323" s="300"/>
      <c r="AP323" s="1009">
        <f t="shared" si="151"/>
        <v>516900000</v>
      </c>
      <c r="AQ323" s="288" t="str">
        <f t="shared" si="144"/>
        <v>Bien</v>
      </c>
      <c r="AR323" s="1157" t="s">
        <v>1237</v>
      </c>
    </row>
    <row r="324" spans="1:44" s="288" customFormat="1" ht="30" x14ac:dyDescent="0.25">
      <c r="A324" s="2045"/>
      <c r="B324" s="1238"/>
      <c r="C324" s="2229"/>
      <c r="D324" s="2229"/>
      <c r="E324" s="1236"/>
      <c r="F324" s="1246"/>
      <c r="G324" s="1246"/>
      <c r="H324" s="1249"/>
      <c r="I324" s="1198"/>
      <c r="J324" s="1200"/>
      <c r="K324" s="1823"/>
      <c r="L324" s="1266"/>
      <c r="M324" s="1216"/>
      <c r="N324" s="1216"/>
      <c r="O324" s="1218"/>
      <c r="P324" s="1773"/>
      <c r="Q324" s="1775"/>
      <c r="R324" s="1773"/>
      <c r="S324" s="295"/>
      <c r="T324" s="1773"/>
      <c r="U324" s="1187"/>
      <c r="V324" s="1187"/>
      <c r="W324" s="1187"/>
      <c r="X324" s="1187"/>
      <c r="Y324" s="1190"/>
      <c r="Z324" s="1201"/>
      <c r="AA324" s="1193"/>
      <c r="AB324" s="2128"/>
      <c r="AC324" s="300"/>
      <c r="AD324" s="1196"/>
      <c r="AE324" s="2128"/>
      <c r="AF324" s="300"/>
      <c r="AG324" s="1196"/>
      <c r="AH324" s="1201"/>
      <c r="AI324" s="300"/>
      <c r="AJ324" s="1196"/>
      <c r="AK324" s="1201"/>
      <c r="AL324" s="300"/>
      <c r="AM324" s="1196"/>
      <c r="AN324" s="1201"/>
      <c r="AO324" s="300"/>
      <c r="AP324" s="1009">
        <f t="shared" si="151"/>
        <v>0</v>
      </c>
      <c r="AQ324" s="288" t="str">
        <f t="shared" si="144"/>
        <v>Bien</v>
      </c>
      <c r="AR324" s="1157" t="s">
        <v>1237</v>
      </c>
    </row>
    <row r="325" spans="1:44" s="288" customFormat="1" ht="30" x14ac:dyDescent="0.25">
      <c r="A325" s="2045"/>
      <c r="B325" s="1238"/>
      <c r="C325" s="2229"/>
      <c r="D325" s="2229"/>
      <c r="E325" s="1236"/>
      <c r="F325" s="1246"/>
      <c r="G325" s="1246"/>
      <c r="H325" s="1249"/>
      <c r="I325" s="1198"/>
      <c r="J325" s="1200"/>
      <c r="K325" s="1294" t="s">
        <v>793</v>
      </c>
      <c r="L325" s="1297" t="s">
        <v>794</v>
      </c>
      <c r="M325" s="1784">
        <v>0.4</v>
      </c>
      <c r="N325" s="1784">
        <v>0.75</v>
      </c>
      <c r="O325" s="1787">
        <v>0.75</v>
      </c>
      <c r="P325" s="1787">
        <v>0.75</v>
      </c>
      <c r="Q325" s="1787">
        <v>0.75</v>
      </c>
      <c r="R325" s="1787">
        <v>0.75</v>
      </c>
      <c r="S325" s="295"/>
      <c r="T325" s="315"/>
      <c r="U325" s="1185">
        <v>1754612251</v>
      </c>
      <c r="V325" s="1185">
        <v>2000000000</v>
      </c>
      <c r="W325" s="1185">
        <v>3000000000</v>
      </c>
      <c r="X325" s="1185">
        <v>4000000000</v>
      </c>
      <c r="Y325" s="1188">
        <f>U325+V325+W325+X325</f>
        <v>10754612251</v>
      </c>
      <c r="Z325" s="1201"/>
      <c r="AA325" s="1191">
        <v>10754612251</v>
      </c>
      <c r="AB325" s="2128"/>
      <c r="AC325" s="300"/>
      <c r="AD325" s="1194"/>
      <c r="AE325" s="2128"/>
      <c r="AF325" s="300"/>
      <c r="AG325" s="1194"/>
      <c r="AH325" s="1201"/>
      <c r="AI325" s="300"/>
      <c r="AJ325" s="1194"/>
      <c r="AK325" s="1201"/>
      <c r="AL325" s="300"/>
      <c r="AM325" s="1194"/>
      <c r="AN325" s="1201"/>
      <c r="AO325" s="300"/>
      <c r="AP325" s="1009">
        <f t="shared" si="151"/>
        <v>10754612251</v>
      </c>
      <c r="AQ325" s="288" t="str">
        <f t="shared" si="144"/>
        <v>Bien</v>
      </c>
      <c r="AR325" s="1157" t="s">
        <v>1237</v>
      </c>
    </row>
    <row r="326" spans="1:44" s="288" customFormat="1" ht="30" x14ac:dyDescent="0.25">
      <c r="A326" s="2045"/>
      <c r="B326" s="1238"/>
      <c r="C326" s="2229"/>
      <c r="D326" s="2229"/>
      <c r="E326" s="1236"/>
      <c r="F326" s="1246"/>
      <c r="G326" s="1246"/>
      <c r="H326" s="1249"/>
      <c r="I326" s="1198"/>
      <c r="J326" s="1200"/>
      <c r="K326" s="1295"/>
      <c r="L326" s="1297"/>
      <c r="M326" s="1785"/>
      <c r="N326" s="1785"/>
      <c r="O326" s="1788"/>
      <c r="P326" s="1788"/>
      <c r="Q326" s="1788"/>
      <c r="R326" s="1788"/>
      <c r="S326" s="295"/>
      <c r="T326" s="315"/>
      <c r="U326" s="1186"/>
      <c r="V326" s="1186"/>
      <c r="W326" s="1186"/>
      <c r="X326" s="1186"/>
      <c r="Y326" s="1189"/>
      <c r="Z326" s="1201"/>
      <c r="AA326" s="1192"/>
      <c r="AB326" s="2128"/>
      <c r="AC326" s="300"/>
      <c r="AD326" s="1195"/>
      <c r="AE326" s="2128"/>
      <c r="AF326" s="300"/>
      <c r="AG326" s="1195"/>
      <c r="AH326" s="1201"/>
      <c r="AI326" s="300"/>
      <c r="AJ326" s="1195"/>
      <c r="AK326" s="1201"/>
      <c r="AL326" s="300"/>
      <c r="AM326" s="1195"/>
      <c r="AN326" s="1201"/>
      <c r="AO326" s="300"/>
      <c r="AP326" s="1009">
        <f t="shared" si="151"/>
        <v>0</v>
      </c>
      <c r="AQ326" s="288" t="str">
        <f t="shared" si="144"/>
        <v>Bien</v>
      </c>
      <c r="AR326" s="1157" t="s">
        <v>1237</v>
      </c>
    </row>
    <row r="327" spans="1:44" s="288" customFormat="1" ht="30" x14ac:dyDescent="0.25">
      <c r="A327" s="2045"/>
      <c r="B327" s="1238"/>
      <c r="C327" s="2229"/>
      <c r="D327" s="2229"/>
      <c r="E327" s="1236"/>
      <c r="F327" s="1246"/>
      <c r="G327" s="1246"/>
      <c r="H327" s="1249"/>
      <c r="I327" s="1198"/>
      <c r="J327" s="1200"/>
      <c r="K327" s="1295"/>
      <c r="L327" s="1297"/>
      <c r="M327" s="1785"/>
      <c r="N327" s="1785"/>
      <c r="O327" s="1788"/>
      <c r="P327" s="1788"/>
      <c r="Q327" s="1788"/>
      <c r="R327" s="1788"/>
      <c r="S327" s="295"/>
      <c r="T327" s="315"/>
      <c r="U327" s="1186"/>
      <c r="V327" s="1186"/>
      <c r="W327" s="1186"/>
      <c r="X327" s="1186"/>
      <c r="Y327" s="1189"/>
      <c r="Z327" s="1201"/>
      <c r="AA327" s="1192"/>
      <c r="AB327" s="2128"/>
      <c r="AC327" s="300"/>
      <c r="AD327" s="1195"/>
      <c r="AE327" s="2128"/>
      <c r="AF327" s="300"/>
      <c r="AG327" s="1195"/>
      <c r="AH327" s="1201"/>
      <c r="AI327" s="300"/>
      <c r="AJ327" s="1195"/>
      <c r="AK327" s="1201"/>
      <c r="AL327" s="300"/>
      <c r="AM327" s="1195"/>
      <c r="AN327" s="1201"/>
      <c r="AO327" s="300"/>
      <c r="AP327" s="1009">
        <f t="shared" si="151"/>
        <v>0</v>
      </c>
      <c r="AQ327" s="288" t="str">
        <f t="shared" si="144"/>
        <v>Bien</v>
      </c>
      <c r="AR327" s="1157" t="s">
        <v>1237</v>
      </c>
    </row>
    <row r="328" spans="1:44" s="288" customFormat="1" ht="33" customHeight="1" thickBot="1" x14ac:dyDescent="0.3">
      <c r="A328" s="2045"/>
      <c r="B328" s="1238"/>
      <c r="C328" s="2229"/>
      <c r="D328" s="2229"/>
      <c r="E328" s="1236"/>
      <c r="F328" s="1913"/>
      <c r="G328" s="1247"/>
      <c r="H328" s="1914"/>
      <c r="I328" s="1199"/>
      <c r="J328" s="1200"/>
      <c r="K328" s="1296"/>
      <c r="L328" s="1298"/>
      <c r="M328" s="1786"/>
      <c r="N328" s="1786"/>
      <c r="O328" s="1773"/>
      <c r="P328" s="1773"/>
      <c r="Q328" s="1773"/>
      <c r="R328" s="1773"/>
      <c r="S328" s="295"/>
      <c r="T328" s="315"/>
      <c r="U328" s="1187"/>
      <c r="V328" s="1187"/>
      <c r="W328" s="1187"/>
      <c r="X328" s="1187"/>
      <c r="Y328" s="1190"/>
      <c r="Z328" s="1201"/>
      <c r="AA328" s="1193"/>
      <c r="AB328" s="2128"/>
      <c r="AC328" s="300"/>
      <c r="AD328" s="1196"/>
      <c r="AE328" s="2128"/>
      <c r="AF328" s="300"/>
      <c r="AG328" s="1196"/>
      <c r="AH328" s="1201"/>
      <c r="AI328" s="300"/>
      <c r="AJ328" s="1196"/>
      <c r="AK328" s="1201"/>
      <c r="AL328" s="300"/>
      <c r="AM328" s="1196"/>
      <c r="AN328" s="1201"/>
      <c r="AO328" s="300"/>
      <c r="AP328" s="1009">
        <f t="shared" si="151"/>
        <v>0</v>
      </c>
      <c r="AQ328" s="288" t="str">
        <f t="shared" si="144"/>
        <v>Bien</v>
      </c>
      <c r="AR328" s="1157" t="s">
        <v>1237</v>
      </c>
    </row>
    <row r="329" spans="1:44" ht="48.75" customHeight="1" x14ac:dyDescent="0.25">
      <c r="A329" s="2045"/>
      <c r="B329" s="1820" t="s">
        <v>721</v>
      </c>
      <c r="C329" s="1123">
        <v>3202</v>
      </c>
      <c r="D329" s="1123" t="s">
        <v>1110</v>
      </c>
      <c r="E329" s="1833" t="s">
        <v>468</v>
      </c>
      <c r="F329" s="1860" t="s">
        <v>993</v>
      </c>
      <c r="G329" s="1208" t="s">
        <v>469</v>
      </c>
      <c r="H329" s="1208" t="s">
        <v>107</v>
      </c>
      <c r="I329" s="1210">
        <v>1</v>
      </c>
      <c r="J329" s="1800" t="s">
        <v>470</v>
      </c>
      <c r="K329" s="268" t="s">
        <v>683</v>
      </c>
      <c r="L329" s="269" t="s">
        <v>620</v>
      </c>
      <c r="M329" s="269" t="s">
        <v>107</v>
      </c>
      <c r="N329" s="269">
        <v>60</v>
      </c>
      <c r="O329" s="270">
        <v>15</v>
      </c>
      <c r="P329" s="780">
        <v>15</v>
      </c>
      <c r="Q329" s="781">
        <v>15</v>
      </c>
      <c r="R329" s="781">
        <v>15</v>
      </c>
      <c r="S329" s="782"/>
      <c r="T329" s="783">
        <f t="shared" ref="T329:T341" si="152">+SUM(O329:R329)</f>
        <v>60</v>
      </c>
      <c r="U329" s="784">
        <v>23100000</v>
      </c>
      <c r="V329" s="784">
        <v>29741250</v>
      </c>
      <c r="W329" s="784">
        <v>30633487</v>
      </c>
      <c r="X329" s="784">
        <v>31552492</v>
      </c>
      <c r="Y329" s="784">
        <f t="shared" ref="Y329:Y357" si="153">+U329+V329+W329+X329</f>
        <v>115027229</v>
      </c>
      <c r="Z329" s="1802">
        <f>+SUM(Y329:Y342)</f>
        <v>7280818643</v>
      </c>
      <c r="AA329" s="172"/>
      <c r="AB329" s="1804">
        <f>+SUM(AA329:AA342)</f>
        <v>6237820250</v>
      </c>
      <c r="AC329" s="173">
        <f t="shared" si="139"/>
        <v>0</v>
      </c>
      <c r="AD329" s="174">
        <f>Y329</f>
        <v>115027229</v>
      </c>
      <c r="AE329" s="1804">
        <f>+SUM(AD329:AD342)</f>
        <v>882998393</v>
      </c>
      <c r="AF329" s="173">
        <f t="shared" ref="AF329:AF346" si="154">+AD329/Y329</f>
        <v>1</v>
      </c>
      <c r="AG329" s="174"/>
      <c r="AH329" s="1802">
        <f>+SUM(AG329:AG342)</f>
        <v>0</v>
      </c>
      <c r="AI329" s="173">
        <f t="shared" ref="AI329:AI346" si="155">+AG329/Y329</f>
        <v>0</v>
      </c>
      <c r="AJ329" s="174"/>
      <c r="AK329" s="1802">
        <f>+SUM(AJ329:AJ342)</f>
        <v>0</v>
      </c>
      <c r="AL329" s="173">
        <f t="shared" ref="AL329:AL346" si="156">+AJ329/Y329</f>
        <v>0</v>
      </c>
      <c r="AM329" s="174"/>
      <c r="AN329" s="1802">
        <f>+SUM(AM329:AM342)</f>
        <v>160000000</v>
      </c>
      <c r="AO329" s="173">
        <f t="shared" ref="AO329:AO346" si="157">+AM329/Y329</f>
        <v>0</v>
      </c>
      <c r="AP329" s="1010">
        <f t="shared" ref="AP329:AP392" si="158">+AA329+AD329+AG329+AJ329+AM329</f>
        <v>115027229</v>
      </c>
      <c r="AQ329" s="18" t="str">
        <f t="shared" ref="AQ329:AQ357" si="159">+IF(Y329=AP329,"Bien","Error")</f>
        <v>Bien</v>
      </c>
      <c r="AR329" s="1150" t="s">
        <v>1235</v>
      </c>
    </row>
    <row r="330" spans="1:44" ht="48" customHeight="1" x14ac:dyDescent="0.25">
      <c r="A330" s="2045"/>
      <c r="B330" s="1821"/>
      <c r="C330" s="1123">
        <v>2104</v>
      </c>
      <c r="D330" s="1123" t="s">
        <v>1111</v>
      </c>
      <c r="E330" s="1834"/>
      <c r="F330" s="1861"/>
      <c r="G330" s="1209"/>
      <c r="H330" s="1209"/>
      <c r="I330" s="1211"/>
      <c r="J330" s="1801"/>
      <c r="K330" s="268" t="s">
        <v>684</v>
      </c>
      <c r="L330" s="271" t="s">
        <v>26</v>
      </c>
      <c r="M330" s="271" t="s">
        <v>107</v>
      </c>
      <c r="N330" s="272">
        <v>1</v>
      </c>
      <c r="O330" s="272">
        <v>0.6</v>
      </c>
      <c r="P330" s="272">
        <v>0.2</v>
      </c>
      <c r="Q330" s="272">
        <v>0.1</v>
      </c>
      <c r="R330" s="272">
        <v>0.1</v>
      </c>
      <c r="S330" s="782"/>
      <c r="T330" s="785">
        <f t="shared" si="152"/>
        <v>1</v>
      </c>
      <c r="U330" s="784">
        <v>28875000</v>
      </c>
      <c r="V330" s="784">
        <v>29741250</v>
      </c>
      <c r="W330" s="784">
        <v>30633487</v>
      </c>
      <c r="X330" s="784">
        <v>31552492</v>
      </c>
      <c r="Y330" s="784">
        <f t="shared" si="153"/>
        <v>120802229</v>
      </c>
      <c r="Z330" s="1803"/>
      <c r="AA330" s="172"/>
      <c r="AB330" s="1805"/>
      <c r="AC330" s="173">
        <f t="shared" si="139"/>
        <v>0</v>
      </c>
      <c r="AD330" s="174">
        <f>Y330</f>
        <v>120802229</v>
      </c>
      <c r="AE330" s="1805"/>
      <c r="AF330" s="173">
        <f t="shared" si="154"/>
        <v>1</v>
      </c>
      <c r="AG330" s="174"/>
      <c r="AH330" s="1803"/>
      <c r="AI330" s="173">
        <f t="shared" si="155"/>
        <v>0</v>
      </c>
      <c r="AJ330" s="174"/>
      <c r="AK330" s="1803"/>
      <c r="AL330" s="173">
        <f t="shared" si="156"/>
        <v>0</v>
      </c>
      <c r="AM330" s="174"/>
      <c r="AN330" s="1803"/>
      <c r="AO330" s="173">
        <f t="shared" si="157"/>
        <v>0</v>
      </c>
      <c r="AP330" s="1010">
        <f t="shared" si="158"/>
        <v>120802229</v>
      </c>
      <c r="AQ330" s="18" t="str">
        <f t="shared" si="159"/>
        <v>Bien</v>
      </c>
      <c r="AR330" s="1150" t="s">
        <v>1235</v>
      </c>
    </row>
    <row r="331" spans="1:44" ht="25.5" x14ac:dyDescent="0.25">
      <c r="A331" s="2045"/>
      <c r="B331" s="1821"/>
      <c r="C331" s="1124"/>
      <c r="D331" s="1124"/>
      <c r="E331" s="1834"/>
      <c r="F331" s="1861"/>
      <c r="G331" s="1209"/>
      <c r="H331" s="1209"/>
      <c r="I331" s="1211"/>
      <c r="J331" s="1801"/>
      <c r="K331" s="268" t="s">
        <v>1163</v>
      </c>
      <c r="L331" s="271" t="s">
        <v>606</v>
      </c>
      <c r="M331" s="271" t="s">
        <v>107</v>
      </c>
      <c r="N331" s="271">
        <v>4000</v>
      </c>
      <c r="O331" s="270">
        <v>1000</v>
      </c>
      <c r="P331" s="780">
        <v>1000</v>
      </c>
      <c r="Q331" s="781">
        <v>1000</v>
      </c>
      <c r="R331" s="781">
        <v>1000</v>
      </c>
      <c r="S331" s="782"/>
      <c r="T331" s="786">
        <f t="shared" si="152"/>
        <v>4000</v>
      </c>
      <c r="U331" s="784">
        <v>23100000</v>
      </c>
      <c r="V331" s="784">
        <v>23793000</v>
      </c>
      <c r="W331" s="784">
        <v>24506790</v>
      </c>
      <c r="X331" s="784">
        <v>25241994</v>
      </c>
      <c r="Y331" s="784">
        <f t="shared" si="153"/>
        <v>96641784</v>
      </c>
      <c r="Z331" s="1803"/>
      <c r="AA331" s="172"/>
      <c r="AB331" s="1805"/>
      <c r="AC331" s="173">
        <f t="shared" si="139"/>
        <v>0</v>
      </c>
      <c r="AD331" s="174">
        <f>Y331</f>
        <v>96641784</v>
      </c>
      <c r="AE331" s="1805"/>
      <c r="AF331" s="173">
        <f t="shared" si="154"/>
        <v>1</v>
      </c>
      <c r="AG331" s="174"/>
      <c r="AH331" s="1803"/>
      <c r="AI331" s="173">
        <f t="shared" si="155"/>
        <v>0</v>
      </c>
      <c r="AJ331" s="174"/>
      <c r="AK331" s="1803"/>
      <c r="AL331" s="173">
        <f t="shared" si="156"/>
        <v>0</v>
      </c>
      <c r="AM331" s="174"/>
      <c r="AN331" s="1803"/>
      <c r="AO331" s="173">
        <f t="shared" si="157"/>
        <v>0</v>
      </c>
      <c r="AP331" s="1010">
        <f t="shared" si="158"/>
        <v>96641784</v>
      </c>
      <c r="AQ331" s="18" t="str">
        <f t="shared" si="159"/>
        <v>Bien</v>
      </c>
      <c r="AR331" s="1150" t="s">
        <v>1235</v>
      </c>
    </row>
    <row r="332" spans="1:44" ht="25.5" x14ac:dyDescent="0.25">
      <c r="A332" s="2045"/>
      <c r="B332" s="1821"/>
      <c r="C332" s="2185">
        <v>4003</v>
      </c>
      <c r="D332" s="2185" t="s">
        <v>1091</v>
      </c>
      <c r="E332" s="1834"/>
      <c r="F332" s="1861"/>
      <c r="G332" s="1209"/>
      <c r="H332" s="1209"/>
      <c r="I332" s="1211"/>
      <c r="J332" s="1212" t="s">
        <v>689</v>
      </c>
      <c r="K332" s="268" t="s">
        <v>685</v>
      </c>
      <c r="L332" s="269" t="s">
        <v>26</v>
      </c>
      <c r="M332" s="273">
        <v>0.25</v>
      </c>
      <c r="N332" s="273">
        <v>0.6</v>
      </c>
      <c r="O332" s="787">
        <f>0.35/4</f>
        <v>8.7499999999999994E-2</v>
      </c>
      <c r="P332" s="787">
        <f>0.35/4</f>
        <v>8.7499999999999994E-2</v>
      </c>
      <c r="Q332" s="787">
        <f>0.35/4</f>
        <v>8.7499999999999994E-2</v>
      </c>
      <c r="R332" s="787">
        <f>0.35/4</f>
        <v>8.7499999999999994E-2</v>
      </c>
      <c r="S332" s="782"/>
      <c r="T332" s="785">
        <f t="shared" si="152"/>
        <v>0.35</v>
      </c>
      <c r="U332" s="784">
        <v>57750000</v>
      </c>
      <c r="V332" s="784">
        <v>59482500</v>
      </c>
      <c r="W332" s="784">
        <v>61266975</v>
      </c>
      <c r="X332" s="784">
        <v>62104984</v>
      </c>
      <c r="Y332" s="784">
        <f t="shared" si="153"/>
        <v>240604459</v>
      </c>
      <c r="Z332" s="1803"/>
      <c r="AA332" s="172">
        <f>Y332</f>
        <v>240604459</v>
      </c>
      <c r="AB332" s="1805"/>
      <c r="AC332" s="173">
        <f t="shared" si="139"/>
        <v>1</v>
      </c>
      <c r="AD332" s="174"/>
      <c r="AE332" s="1805"/>
      <c r="AF332" s="173">
        <f t="shared" si="154"/>
        <v>0</v>
      </c>
      <c r="AG332" s="174"/>
      <c r="AH332" s="1803"/>
      <c r="AI332" s="173">
        <f t="shared" si="155"/>
        <v>0</v>
      </c>
      <c r="AJ332" s="174"/>
      <c r="AK332" s="1803"/>
      <c r="AL332" s="173">
        <f t="shared" si="156"/>
        <v>0</v>
      </c>
      <c r="AM332" s="174"/>
      <c r="AN332" s="1803"/>
      <c r="AO332" s="173">
        <f t="shared" si="157"/>
        <v>0</v>
      </c>
      <c r="AP332" s="1010">
        <f t="shared" si="158"/>
        <v>240604459</v>
      </c>
      <c r="AQ332" s="18" t="str">
        <f t="shared" si="159"/>
        <v>Bien</v>
      </c>
      <c r="AR332" s="1150" t="s">
        <v>1235</v>
      </c>
    </row>
    <row r="333" spans="1:44" ht="25.5" x14ac:dyDescent="0.25">
      <c r="A333" s="2045"/>
      <c r="B333" s="1821"/>
      <c r="C333" s="2185"/>
      <c r="D333" s="2185"/>
      <c r="E333" s="1834"/>
      <c r="F333" s="1861"/>
      <c r="G333" s="1209"/>
      <c r="H333" s="1209"/>
      <c r="I333" s="1211"/>
      <c r="J333" s="1213"/>
      <c r="K333" s="268" t="s">
        <v>686</v>
      </c>
      <c r="L333" s="271" t="s">
        <v>620</v>
      </c>
      <c r="M333" s="271" t="s">
        <v>107</v>
      </c>
      <c r="N333" s="271">
        <v>24</v>
      </c>
      <c r="O333" s="270">
        <v>6</v>
      </c>
      <c r="P333" s="780">
        <v>6</v>
      </c>
      <c r="Q333" s="781">
        <v>6</v>
      </c>
      <c r="R333" s="781">
        <v>6</v>
      </c>
      <c r="S333" s="782"/>
      <c r="T333" s="786">
        <f t="shared" si="152"/>
        <v>24</v>
      </c>
      <c r="U333" s="784">
        <v>11550000</v>
      </c>
      <c r="V333" s="784">
        <v>11896500</v>
      </c>
      <c r="W333" s="784">
        <v>12253395</v>
      </c>
      <c r="X333" s="784">
        <v>12620996</v>
      </c>
      <c r="Y333" s="784">
        <f t="shared" si="153"/>
        <v>48320891</v>
      </c>
      <c r="Z333" s="1803"/>
      <c r="AA333" s="172"/>
      <c r="AB333" s="1805"/>
      <c r="AC333" s="173">
        <f t="shared" si="139"/>
        <v>0</v>
      </c>
      <c r="AD333" s="174">
        <f>Y333</f>
        <v>48320891</v>
      </c>
      <c r="AE333" s="1805"/>
      <c r="AF333" s="173">
        <f t="shared" si="154"/>
        <v>1</v>
      </c>
      <c r="AG333" s="174"/>
      <c r="AH333" s="1803"/>
      <c r="AI333" s="173">
        <f t="shared" si="155"/>
        <v>0</v>
      </c>
      <c r="AJ333" s="174"/>
      <c r="AK333" s="1803"/>
      <c r="AL333" s="173">
        <f t="shared" si="156"/>
        <v>0</v>
      </c>
      <c r="AM333" s="174"/>
      <c r="AN333" s="1803"/>
      <c r="AO333" s="173">
        <f t="shared" si="157"/>
        <v>0</v>
      </c>
      <c r="AP333" s="1010">
        <f t="shared" si="158"/>
        <v>48320891</v>
      </c>
      <c r="AQ333" s="18" t="str">
        <f t="shared" si="159"/>
        <v>Bien</v>
      </c>
      <c r="AR333" s="1150" t="s">
        <v>1235</v>
      </c>
    </row>
    <row r="334" spans="1:44" ht="25.5" x14ac:dyDescent="0.25">
      <c r="A334" s="2045"/>
      <c r="B334" s="1821"/>
      <c r="C334" s="2185"/>
      <c r="D334" s="2185"/>
      <c r="E334" s="1834"/>
      <c r="F334" s="1861"/>
      <c r="G334" s="1209"/>
      <c r="H334" s="1209"/>
      <c r="I334" s="1211"/>
      <c r="J334" s="1213"/>
      <c r="K334" s="268" t="s">
        <v>687</v>
      </c>
      <c r="L334" s="271" t="s">
        <v>471</v>
      </c>
      <c r="M334" s="271" t="s">
        <v>107</v>
      </c>
      <c r="N334" s="274">
        <v>7500</v>
      </c>
      <c r="O334" s="270">
        <v>120</v>
      </c>
      <c r="P334" s="780">
        <v>2400</v>
      </c>
      <c r="Q334" s="781">
        <v>2400</v>
      </c>
      <c r="R334" s="781">
        <v>2580</v>
      </c>
      <c r="S334" s="782"/>
      <c r="T334" s="786">
        <f>+SUM(O334:R334)</f>
        <v>7500</v>
      </c>
      <c r="U334" s="784">
        <v>23100000</v>
      </c>
      <c r="V334" s="784">
        <v>23793000</v>
      </c>
      <c r="W334" s="784">
        <v>24506790</v>
      </c>
      <c r="X334" s="784">
        <v>25241994</v>
      </c>
      <c r="Y334" s="784">
        <f t="shared" si="153"/>
        <v>96641784</v>
      </c>
      <c r="Z334" s="1803"/>
      <c r="AA334" s="172"/>
      <c r="AB334" s="1805"/>
      <c r="AC334" s="173">
        <f t="shared" si="139"/>
        <v>0</v>
      </c>
      <c r="AD334" s="174">
        <f>Y334</f>
        <v>96641784</v>
      </c>
      <c r="AE334" s="1805"/>
      <c r="AF334" s="173">
        <f t="shared" si="154"/>
        <v>1</v>
      </c>
      <c r="AG334" s="174"/>
      <c r="AH334" s="1803"/>
      <c r="AI334" s="173">
        <f t="shared" si="155"/>
        <v>0</v>
      </c>
      <c r="AJ334" s="174"/>
      <c r="AK334" s="1803"/>
      <c r="AL334" s="173">
        <f t="shared" si="156"/>
        <v>0</v>
      </c>
      <c r="AM334" s="174"/>
      <c r="AN334" s="1803"/>
      <c r="AO334" s="173">
        <f t="shared" si="157"/>
        <v>0</v>
      </c>
      <c r="AP334" s="1010">
        <f t="shared" si="158"/>
        <v>96641784</v>
      </c>
      <c r="AQ334" s="18" t="str">
        <f t="shared" si="159"/>
        <v>Bien</v>
      </c>
      <c r="AR334" s="1150" t="s">
        <v>1235</v>
      </c>
    </row>
    <row r="335" spans="1:44" ht="25.5" x14ac:dyDescent="0.25">
      <c r="A335" s="2045"/>
      <c r="B335" s="1821"/>
      <c r="C335" s="2185"/>
      <c r="D335" s="2185"/>
      <c r="E335" s="1834"/>
      <c r="F335" s="1861"/>
      <c r="G335" s="1209"/>
      <c r="H335" s="1209"/>
      <c r="I335" s="1211"/>
      <c r="J335" s="1214"/>
      <c r="K335" s="268" t="s">
        <v>688</v>
      </c>
      <c r="L335" s="271" t="s">
        <v>471</v>
      </c>
      <c r="M335" s="271" t="s">
        <v>107</v>
      </c>
      <c r="N335" s="274">
        <v>3000</v>
      </c>
      <c r="O335" s="270">
        <v>120</v>
      </c>
      <c r="P335" s="780">
        <v>960</v>
      </c>
      <c r="Q335" s="781">
        <v>960</v>
      </c>
      <c r="R335" s="781">
        <v>960</v>
      </c>
      <c r="S335" s="782"/>
      <c r="T335" s="786">
        <f t="shared" si="152"/>
        <v>3000</v>
      </c>
      <c r="U335" s="784">
        <v>23100000</v>
      </c>
      <c r="V335" s="784">
        <v>23793000</v>
      </c>
      <c r="W335" s="784">
        <v>24506790</v>
      </c>
      <c r="X335" s="784">
        <v>25241994</v>
      </c>
      <c r="Y335" s="784">
        <f t="shared" si="153"/>
        <v>96641784</v>
      </c>
      <c r="Z335" s="1803"/>
      <c r="AA335" s="172"/>
      <c r="AB335" s="1805"/>
      <c r="AC335" s="173">
        <f t="shared" si="139"/>
        <v>0</v>
      </c>
      <c r="AD335" s="174">
        <f>Y335</f>
        <v>96641784</v>
      </c>
      <c r="AE335" s="1805"/>
      <c r="AF335" s="173">
        <f t="shared" si="154"/>
        <v>1</v>
      </c>
      <c r="AG335" s="174"/>
      <c r="AH335" s="1803"/>
      <c r="AI335" s="173">
        <f t="shared" si="155"/>
        <v>0</v>
      </c>
      <c r="AJ335" s="174"/>
      <c r="AK335" s="1803"/>
      <c r="AL335" s="173">
        <f t="shared" si="156"/>
        <v>0</v>
      </c>
      <c r="AM335" s="174"/>
      <c r="AN335" s="1803"/>
      <c r="AO335" s="173">
        <f t="shared" si="157"/>
        <v>0</v>
      </c>
      <c r="AP335" s="1010">
        <f t="shared" si="158"/>
        <v>96641784</v>
      </c>
      <c r="AQ335" s="18" t="str">
        <f t="shared" si="159"/>
        <v>Bien</v>
      </c>
      <c r="AR335" s="1150" t="s">
        <v>1235</v>
      </c>
    </row>
    <row r="336" spans="1:44" ht="24" customHeight="1" x14ac:dyDescent="0.25">
      <c r="A336" s="2045"/>
      <c r="B336" s="1821"/>
      <c r="C336" s="2185">
        <v>3202</v>
      </c>
      <c r="D336" s="2185" t="s">
        <v>1110</v>
      </c>
      <c r="E336" s="1834"/>
      <c r="F336" s="1861"/>
      <c r="G336" s="1209"/>
      <c r="H336" s="1209"/>
      <c r="I336" s="1211"/>
      <c r="J336" s="1215" t="s">
        <v>472</v>
      </c>
      <c r="K336" s="268" t="s">
        <v>473</v>
      </c>
      <c r="L336" s="269" t="s">
        <v>193</v>
      </c>
      <c r="M336" s="269">
        <v>552</v>
      </c>
      <c r="N336" s="269">
        <v>652</v>
      </c>
      <c r="O336" s="270">
        <v>25</v>
      </c>
      <c r="P336" s="780">
        <v>25</v>
      </c>
      <c r="Q336" s="781">
        <v>25</v>
      </c>
      <c r="R336" s="781">
        <v>25</v>
      </c>
      <c r="S336" s="782"/>
      <c r="T336" s="786">
        <f t="shared" si="152"/>
        <v>100</v>
      </c>
      <c r="U336" s="788">
        <v>670148593</v>
      </c>
      <c r="V336" s="788">
        <v>728025129</v>
      </c>
      <c r="W336" s="788">
        <v>746343543</v>
      </c>
      <c r="X336" s="788">
        <v>765211510</v>
      </c>
      <c r="Y336" s="784">
        <f t="shared" si="153"/>
        <v>2909728775</v>
      </c>
      <c r="Z336" s="1803"/>
      <c r="AA336" s="172">
        <f>+Y336</f>
        <v>2909728775</v>
      </c>
      <c r="AB336" s="1805"/>
      <c r="AC336" s="173">
        <f t="shared" si="139"/>
        <v>1</v>
      </c>
      <c r="AD336" s="174"/>
      <c r="AE336" s="1805"/>
      <c r="AF336" s="173">
        <f t="shared" si="154"/>
        <v>0</v>
      </c>
      <c r="AG336" s="174"/>
      <c r="AH336" s="1803"/>
      <c r="AI336" s="173">
        <f t="shared" si="155"/>
        <v>0</v>
      </c>
      <c r="AJ336" s="174"/>
      <c r="AK336" s="1803"/>
      <c r="AL336" s="173">
        <f t="shared" si="156"/>
        <v>0</v>
      </c>
      <c r="AM336" s="174"/>
      <c r="AN336" s="1803"/>
      <c r="AO336" s="173">
        <f t="shared" si="157"/>
        <v>0</v>
      </c>
      <c r="AP336" s="1010">
        <f t="shared" si="158"/>
        <v>2909728775</v>
      </c>
      <c r="AQ336" s="18" t="str">
        <f t="shared" si="159"/>
        <v>Bien</v>
      </c>
      <c r="AR336" s="1150" t="s">
        <v>1235</v>
      </c>
    </row>
    <row r="337" spans="1:44" ht="25.5" x14ac:dyDescent="0.25">
      <c r="A337" s="2045"/>
      <c r="B337" s="1821"/>
      <c r="C337" s="2185"/>
      <c r="D337" s="2185"/>
      <c r="E337" s="1834"/>
      <c r="F337" s="1861"/>
      <c r="G337" s="1209"/>
      <c r="H337" s="1209"/>
      <c r="I337" s="1211"/>
      <c r="J337" s="1214"/>
      <c r="K337" s="268" t="s">
        <v>757</v>
      </c>
      <c r="L337" s="271" t="s">
        <v>620</v>
      </c>
      <c r="M337" s="271" t="s">
        <v>107</v>
      </c>
      <c r="N337" s="271">
        <v>400</v>
      </c>
      <c r="O337" s="270">
        <v>100</v>
      </c>
      <c r="P337" s="780">
        <v>100</v>
      </c>
      <c r="Q337" s="781">
        <v>100</v>
      </c>
      <c r="R337" s="781">
        <v>100</v>
      </c>
      <c r="S337" s="782"/>
      <c r="T337" s="786">
        <f t="shared" si="152"/>
        <v>400</v>
      </c>
      <c r="U337" s="788">
        <f>+U336</f>
        <v>670148593</v>
      </c>
      <c r="V337" s="788">
        <f t="shared" ref="V337:X337" si="160">+V336</f>
        <v>728025129</v>
      </c>
      <c r="W337" s="788">
        <f t="shared" si="160"/>
        <v>746343543</v>
      </c>
      <c r="X337" s="788">
        <f t="shared" si="160"/>
        <v>765211510</v>
      </c>
      <c r="Y337" s="784">
        <f t="shared" si="153"/>
        <v>2909728775</v>
      </c>
      <c r="Z337" s="1803"/>
      <c r="AA337" s="172">
        <f>+Y337</f>
        <v>2909728775</v>
      </c>
      <c r="AB337" s="1805"/>
      <c r="AC337" s="173">
        <f t="shared" si="139"/>
        <v>1</v>
      </c>
      <c r="AD337" s="174"/>
      <c r="AE337" s="1805"/>
      <c r="AF337" s="173">
        <f t="shared" si="154"/>
        <v>0</v>
      </c>
      <c r="AG337" s="174"/>
      <c r="AH337" s="1803"/>
      <c r="AI337" s="173">
        <f t="shared" si="155"/>
        <v>0</v>
      </c>
      <c r="AJ337" s="174"/>
      <c r="AK337" s="1803"/>
      <c r="AL337" s="173">
        <f t="shared" si="156"/>
        <v>0</v>
      </c>
      <c r="AM337" s="174"/>
      <c r="AN337" s="1803"/>
      <c r="AO337" s="173">
        <f t="shared" si="157"/>
        <v>0</v>
      </c>
      <c r="AP337" s="1010">
        <f t="shared" si="158"/>
        <v>2909728775</v>
      </c>
      <c r="AQ337" s="18" t="str">
        <f t="shared" si="159"/>
        <v>Bien</v>
      </c>
      <c r="AR337" s="1150" t="s">
        <v>1235</v>
      </c>
    </row>
    <row r="338" spans="1:44" ht="15" customHeight="1" x14ac:dyDescent="0.25">
      <c r="A338" s="2045"/>
      <c r="B338" s="1821"/>
      <c r="C338" s="2185"/>
      <c r="D338" s="2185"/>
      <c r="E338" s="1834"/>
      <c r="F338" s="1861"/>
      <c r="G338" s="1209"/>
      <c r="H338" s="1209"/>
      <c r="I338" s="1211"/>
      <c r="J338" s="1215" t="s">
        <v>690</v>
      </c>
      <c r="K338" s="789" t="s">
        <v>734</v>
      </c>
      <c r="L338" s="269" t="s">
        <v>193</v>
      </c>
      <c r="M338" s="269">
        <v>0</v>
      </c>
      <c r="N338" s="284">
        <v>1</v>
      </c>
      <c r="O338" s="270"/>
      <c r="P338" s="780"/>
      <c r="Q338" s="781"/>
      <c r="R338" s="781">
        <v>1</v>
      </c>
      <c r="S338" s="782"/>
      <c r="T338" s="785">
        <f t="shared" si="152"/>
        <v>1</v>
      </c>
      <c r="U338" s="784">
        <v>33000000</v>
      </c>
      <c r="V338" s="784">
        <v>33990000</v>
      </c>
      <c r="W338" s="784">
        <v>35009700</v>
      </c>
      <c r="X338" s="784">
        <v>36059991</v>
      </c>
      <c r="Y338" s="784">
        <f t="shared" si="153"/>
        <v>138059691</v>
      </c>
      <c r="Z338" s="1803"/>
      <c r="AA338" s="172"/>
      <c r="AB338" s="1805"/>
      <c r="AC338" s="173">
        <f t="shared" si="139"/>
        <v>0</v>
      </c>
      <c r="AD338" s="174">
        <f>Y338</f>
        <v>138059691</v>
      </c>
      <c r="AE338" s="1805"/>
      <c r="AF338" s="173">
        <f t="shared" si="154"/>
        <v>1</v>
      </c>
      <c r="AG338" s="174"/>
      <c r="AH338" s="1803"/>
      <c r="AI338" s="173">
        <f t="shared" si="155"/>
        <v>0</v>
      </c>
      <c r="AJ338" s="174"/>
      <c r="AK338" s="1803"/>
      <c r="AL338" s="173">
        <f t="shared" si="156"/>
        <v>0</v>
      </c>
      <c r="AM338" s="174"/>
      <c r="AN338" s="1803"/>
      <c r="AO338" s="173">
        <f t="shared" si="157"/>
        <v>0</v>
      </c>
      <c r="AP338" s="1010">
        <f t="shared" si="158"/>
        <v>138059691</v>
      </c>
      <c r="AQ338" s="18" t="str">
        <f t="shared" si="159"/>
        <v>Bien</v>
      </c>
      <c r="AR338" s="1150" t="s">
        <v>1235</v>
      </c>
    </row>
    <row r="339" spans="1:44" ht="25.5" x14ac:dyDescent="0.25">
      <c r="A339" s="2045"/>
      <c r="B339" s="1821"/>
      <c r="C339" s="2185"/>
      <c r="D339" s="2185"/>
      <c r="E339" s="1834"/>
      <c r="F339" s="1861"/>
      <c r="G339" s="1209"/>
      <c r="H339" s="1209"/>
      <c r="I339" s="1211"/>
      <c r="J339" s="1213"/>
      <c r="K339" s="268" t="s">
        <v>731</v>
      </c>
      <c r="L339" s="271" t="s">
        <v>732</v>
      </c>
      <c r="M339" s="271">
        <v>2</v>
      </c>
      <c r="N339" s="790">
        <v>9</v>
      </c>
      <c r="O339" s="270">
        <v>1</v>
      </c>
      <c r="P339" s="780">
        <v>2</v>
      </c>
      <c r="Q339" s="781">
        <v>2</v>
      </c>
      <c r="R339" s="781">
        <v>2</v>
      </c>
      <c r="S339" s="782"/>
      <c r="T339" s="785">
        <f t="shared" si="152"/>
        <v>7</v>
      </c>
      <c r="U339" s="784">
        <v>40425000</v>
      </c>
      <c r="V339" s="784">
        <v>35689500</v>
      </c>
      <c r="W339" s="784">
        <v>36760185</v>
      </c>
      <c r="X339" s="784">
        <v>37862990</v>
      </c>
      <c r="Y339" s="784">
        <f t="shared" si="153"/>
        <v>150737675</v>
      </c>
      <c r="Z339" s="1803"/>
      <c r="AA339" s="172">
        <f>Y339</f>
        <v>150737675</v>
      </c>
      <c r="AB339" s="1805"/>
      <c r="AC339" s="173">
        <f t="shared" si="139"/>
        <v>1</v>
      </c>
      <c r="AD339" s="174"/>
      <c r="AE339" s="1805"/>
      <c r="AF339" s="173">
        <f t="shared" si="154"/>
        <v>0</v>
      </c>
      <c r="AG339" s="174"/>
      <c r="AH339" s="1803"/>
      <c r="AI339" s="173">
        <f t="shared" si="155"/>
        <v>0</v>
      </c>
      <c r="AJ339" s="174"/>
      <c r="AK339" s="1803"/>
      <c r="AL339" s="173">
        <f t="shared" si="156"/>
        <v>0</v>
      </c>
      <c r="AM339" s="174"/>
      <c r="AN339" s="1803"/>
      <c r="AO339" s="173">
        <f t="shared" si="157"/>
        <v>0</v>
      </c>
      <c r="AP339" s="1010">
        <f t="shared" si="158"/>
        <v>150737675</v>
      </c>
      <c r="AQ339" s="18" t="str">
        <f t="shared" si="159"/>
        <v>Bien</v>
      </c>
      <c r="AR339" s="1150" t="s">
        <v>1235</v>
      </c>
    </row>
    <row r="340" spans="1:44" ht="25.5" x14ac:dyDescent="0.25">
      <c r="A340" s="2045"/>
      <c r="B340" s="1821"/>
      <c r="C340" s="2185"/>
      <c r="D340" s="2185"/>
      <c r="E340" s="1834"/>
      <c r="F340" s="1861"/>
      <c r="G340" s="1209"/>
      <c r="H340" s="1209"/>
      <c r="I340" s="1211"/>
      <c r="J340" s="1213"/>
      <c r="K340" s="268" t="s">
        <v>691</v>
      </c>
      <c r="L340" s="271" t="s">
        <v>620</v>
      </c>
      <c r="M340" s="271" t="s">
        <v>107</v>
      </c>
      <c r="N340" s="271">
        <v>190000</v>
      </c>
      <c r="O340" s="270">
        <v>47500</v>
      </c>
      <c r="P340" s="780">
        <v>47500</v>
      </c>
      <c r="Q340" s="781">
        <v>47500</v>
      </c>
      <c r="R340" s="781">
        <v>47500</v>
      </c>
      <c r="S340" s="782"/>
      <c r="T340" s="786">
        <f t="shared" si="152"/>
        <v>190000</v>
      </c>
      <c r="U340" s="784">
        <v>33000000</v>
      </c>
      <c r="V340" s="784">
        <v>33990000</v>
      </c>
      <c r="W340" s="784">
        <v>36059991</v>
      </c>
      <c r="X340" s="784">
        <v>38009700</v>
      </c>
      <c r="Y340" s="784">
        <f t="shared" si="153"/>
        <v>141059691</v>
      </c>
      <c r="Z340" s="1803"/>
      <c r="AA340" s="172"/>
      <c r="AB340" s="1805"/>
      <c r="AC340" s="173">
        <f t="shared" si="139"/>
        <v>0</v>
      </c>
      <c r="AD340" s="174">
        <f>Y340</f>
        <v>141059691</v>
      </c>
      <c r="AE340" s="1805"/>
      <c r="AF340" s="173">
        <f t="shared" si="154"/>
        <v>1</v>
      </c>
      <c r="AG340" s="174"/>
      <c r="AH340" s="1803"/>
      <c r="AI340" s="173">
        <f t="shared" si="155"/>
        <v>0</v>
      </c>
      <c r="AJ340" s="174"/>
      <c r="AK340" s="1803"/>
      <c r="AL340" s="173">
        <f t="shared" si="156"/>
        <v>0</v>
      </c>
      <c r="AM340" s="174"/>
      <c r="AN340" s="1803"/>
      <c r="AO340" s="173">
        <f t="shared" si="157"/>
        <v>0</v>
      </c>
      <c r="AP340" s="1010">
        <f t="shared" si="158"/>
        <v>141059691</v>
      </c>
      <c r="AQ340" s="18" t="str">
        <f t="shared" si="159"/>
        <v>Bien</v>
      </c>
      <c r="AR340" s="1150" t="s">
        <v>1235</v>
      </c>
    </row>
    <row r="341" spans="1:44" ht="25.5" x14ac:dyDescent="0.25">
      <c r="A341" s="2045"/>
      <c r="B341" s="1821"/>
      <c r="C341" s="2185"/>
      <c r="D341" s="2185"/>
      <c r="E341" s="1834"/>
      <c r="F341" s="1861"/>
      <c r="G341" s="1209"/>
      <c r="H341" s="1209"/>
      <c r="I341" s="1211"/>
      <c r="J341" s="1214"/>
      <c r="K341" s="268" t="s">
        <v>474</v>
      </c>
      <c r="L341" s="271" t="s">
        <v>620</v>
      </c>
      <c r="M341" s="271" t="s">
        <v>107</v>
      </c>
      <c r="N341" s="271">
        <v>10000</v>
      </c>
      <c r="O341" s="270">
        <v>2500</v>
      </c>
      <c r="P341" s="780">
        <v>2500</v>
      </c>
      <c r="Q341" s="781">
        <v>2500</v>
      </c>
      <c r="R341" s="781">
        <v>2500</v>
      </c>
      <c r="S341" s="782"/>
      <c r="T341" s="786">
        <f t="shared" si="152"/>
        <v>10000</v>
      </c>
      <c r="U341" s="784">
        <v>13200000</v>
      </c>
      <c r="V341" s="784">
        <v>13596000</v>
      </c>
      <c r="W341" s="784">
        <v>14423996</v>
      </c>
      <c r="X341" s="784">
        <v>15603880</v>
      </c>
      <c r="Y341" s="784">
        <f t="shared" si="153"/>
        <v>56823876</v>
      </c>
      <c r="Z341" s="1803"/>
      <c r="AA341" s="172">
        <f>1825000+7828000+8062840+9304726</f>
        <v>27020566</v>
      </c>
      <c r="AB341" s="1805"/>
      <c r="AC341" s="173">
        <f t="shared" si="139"/>
        <v>0.47551430669741712</v>
      </c>
      <c r="AD341" s="174">
        <f>Y341-AA341</f>
        <v>29803310</v>
      </c>
      <c r="AE341" s="1805"/>
      <c r="AF341" s="173">
        <f t="shared" si="154"/>
        <v>0.52448569330258288</v>
      </c>
      <c r="AG341" s="174"/>
      <c r="AH341" s="1803"/>
      <c r="AI341" s="173">
        <f t="shared" si="155"/>
        <v>0</v>
      </c>
      <c r="AJ341" s="174"/>
      <c r="AK341" s="1803"/>
      <c r="AL341" s="173">
        <f t="shared" si="156"/>
        <v>0</v>
      </c>
      <c r="AM341" s="174"/>
      <c r="AN341" s="1803"/>
      <c r="AO341" s="173">
        <f t="shared" si="157"/>
        <v>0</v>
      </c>
      <c r="AP341" s="1010">
        <f t="shared" si="158"/>
        <v>56823876</v>
      </c>
      <c r="AQ341" s="18" t="str">
        <f t="shared" si="159"/>
        <v>Bien</v>
      </c>
      <c r="AR341" s="1150" t="s">
        <v>1235</v>
      </c>
    </row>
    <row r="342" spans="1:44" ht="51.75" thickBot="1" x14ac:dyDescent="0.3">
      <c r="A342" s="2045"/>
      <c r="B342" s="1821"/>
      <c r="C342" s="2185"/>
      <c r="D342" s="2185"/>
      <c r="E342" s="1835"/>
      <c r="F342" s="1862"/>
      <c r="G342" s="1209"/>
      <c r="H342" s="1209"/>
      <c r="I342" s="1211"/>
      <c r="J342" s="1170" t="s">
        <v>975</v>
      </c>
      <c r="K342" s="275" t="s">
        <v>475</v>
      </c>
      <c r="L342" s="276" t="s">
        <v>26</v>
      </c>
      <c r="M342" s="1165">
        <v>0.1</v>
      </c>
      <c r="N342" s="1165">
        <v>0.4</v>
      </c>
      <c r="O342" s="267">
        <v>0.05</v>
      </c>
      <c r="P342" s="263">
        <v>0.15</v>
      </c>
      <c r="Q342" s="175">
        <v>0.1</v>
      </c>
      <c r="R342" s="175">
        <v>0.05</v>
      </c>
      <c r="S342" s="176"/>
      <c r="T342" s="177">
        <f t="shared" ref="T342:T343" si="161">+SUM(O342:R342)</f>
        <v>0.35000000000000003</v>
      </c>
      <c r="U342" s="778">
        <v>20000000</v>
      </c>
      <c r="V342" s="778">
        <v>60000000</v>
      </c>
      <c r="W342" s="778">
        <v>60000000</v>
      </c>
      <c r="X342" s="778">
        <v>20000000</v>
      </c>
      <c r="Y342" s="178">
        <f t="shared" si="153"/>
        <v>160000000</v>
      </c>
      <c r="Z342" s="1803"/>
      <c r="AA342" s="172"/>
      <c r="AB342" s="1805"/>
      <c r="AC342" s="173">
        <v>100</v>
      </c>
      <c r="AD342" s="174"/>
      <c r="AE342" s="1805"/>
      <c r="AF342" s="173">
        <f t="shared" si="154"/>
        <v>0</v>
      </c>
      <c r="AG342" s="174"/>
      <c r="AH342" s="1803"/>
      <c r="AI342" s="173">
        <f t="shared" si="155"/>
        <v>0</v>
      </c>
      <c r="AJ342" s="174"/>
      <c r="AK342" s="1803"/>
      <c r="AL342" s="173">
        <f t="shared" si="156"/>
        <v>0</v>
      </c>
      <c r="AM342" s="174">
        <f>+Y342</f>
        <v>160000000</v>
      </c>
      <c r="AN342" s="1803"/>
      <c r="AO342" s="173">
        <f t="shared" si="157"/>
        <v>1</v>
      </c>
      <c r="AP342" s="1011">
        <f t="shared" si="158"/>
        <v>160000000</v>
      </c>
      <c r="AQ342" s="18" t="str">
        <f t="shared" si="159"/>
        <v>Bien</v>
      </c>
      <c r="AR342" s="1150" t="s">
        <v>1202</v>
      </c>
    </row>
    <row r="343" spans="1:44" ht="61.5" customHeight="1" thickBot="1" x14ac:dyDescent="0.3">
      <c r="A343" s="2045"/>
      <c r="B343" s="1821"/>
      <c r="C343" s="2185"/>
      <c r="D343" s="2185"/>
      <c r="E343" s="1122" t="s">
        <v>476</v>
      </c>
      <c r="F343" s="1140" t="s">
        <v>477</v>
      </c>
      <c r="G343" s="9" t="s">
        <v>478</v>
      </c>
      <c r="H343" s="9">
        <v>41</v>
      </c>
      <c r="I343" s="9">
        <v>185</v>
      </c>
      <c r="J343" s="1141" t="s">
        <v>479</v>
      </c>
      <c r="K343" s="264" t="s">
        <v>480</v>
      </c>
      <c r="L343" s="265" t="s">
        <v>39</v>
      </c>
      <c r="M343" s="266">
        <v>0</v>
      </c>
      <c r="N343" s="266">
        <v>1</v>
      </c>
      <c r="O343" s="266">
        <v>0.2</v>
      </c>
      <c r="P343" s="179">
        <v>0.3</v>
      </c>
      <c r="Q343" s="179">
        <v>0.3</v>
      </c>
      <c r="R343" s="179">
        <v>0.2</v>
      </c>
      <c r="S343" s="176"/>
      <c r="T343" s="177">
        <f t="shared" si="161"/>
        <v>1</v>
      </c>
      <c r="U343" s="779">
        <v>168000000</v>
      </c>
      <c r="V343" s="779">
        <v>252000000</v>
      </c>
      <c r="W343" s="779">
        <v>252000000</v>
      </c>
      <c r="X343" s="779">
        <v>168000000</v>
      </c>
      <c r="Y343" s="178">
        <f t="shared" si="153"/>
        <v>840000000</v>
      </c>
      <c r="Z343" s="180">
        <f>+SUM(Y343)</f>
        <v>840000000</v>
      </c>
      <c r="AA343" s="172"/>
      <c r="AB343" s="1052">
        <f>+SUM(AA343)</f>
        <v>0</v>
      </c>
      <c r="AC343" s="173">
        <f t="shared" ref="AC343:AC346" si="162">+AA343/Y343</f>
        <v>0</v>
      </c>
      <c r="AD343" s="174"/>
      <c r="AE343" s="1052">
        <f>+SUM(AD343)</f>
        <v>0</v>
      </c>
      <c r="AF343" s="173">
        <f t="shared" si="154"/>
        <v>0</v>
      </c>
      <c r="AG343" s="174"/>
      <c r="AH343" s="180">
        <f>+SUM(AG343)</f>
        <v>0</v>
      </c>
      <c r="AI343" s="173">
        <f t="shared" si="155"/>
        <v>0</v>
      </c>
      <c r="AJ343" s="174"/>
      <c r="AK343" s="180">
        <f>+SUM(AJ343)</f>
        <v>0</v>
      </c>
      <c r="AL343" s="173">
        <f t="shared" si="156"/>
        <v>0</v>
      </c>
      <c r="AM343" s="174">
        <f>+Y343</f>
        <v>840000000</v>
      </c>
      <c r="AN343" s="180">
        <f>+SUM(AM343)</f>
        <v>840000000</v>
      </c>
      <c r="AO343" s="173">
        <f t="shared" si="157"/>
        <v>1</v>
      </c>
      <c r="AP343" s="1011">
        <f t="shared" si="158"/>
        <v>840000000</v>
      </c>
      <c r="AQ343" s="18" t="str">
        <f t="shared" si="159"/>
        <v>Bien</v>
      </c>
      <c r="AR343" s="1150" t="s">
        <v>1202</v>
      </c>
    </row>
    <row r="344" spans="1:44" ht="71.25" customHeight="1" thickBot="1" x14ac:dyDescent="0.3">
      <c r="A344" s="2046"/>
      <c r="B344" s="1822"/>
      <c r="C344" s="1123">
        <v>3206</v>
      </c>
      <c r="D344" s="1124" t="s">
        <v>1109</v>
      </c>
      <c r="E344" s="1166" t="s">
        <v>758</v>
      </c>
      <c r="F344" s="317" t="s">
        <v>849</v>
      </c>
      <c r="G344" s="181" t="s">
        <v>795</v>
      </c>
      <c r="H344" s="181" t="s">
        <v>107</v>
      </c>
      <c r="I344" s="182">
        <v>600</v>
      </c>
      <c r="J344" s="317" t="s">
        <v>481</v>
      </c>
      <c r="K344" s="277" t="s">
        <v>482</v>
      </c>
      <c r="L344" s="791" t="s">
        <v>733</v>
      </c>
      <c r="M344" s="792" t="s">
        <v>107</v>
      </c>
      <c r="N344" s="793">
        <v>4</v>
      </c>
      <c r="O344" s="170">
        <v>1</v>
      </c>
      <c r="P344" s="170">
        <v>1</v>
      </c>
      <c r="Q344" s="170">
        <v>1</v>
      </c>
      <c r="R344" s="170">
        <v>1</v>
      </c>
      <c r="S344" s="171"/>
      <c r="T344" s="183">
        <f t="shared" ref="T344" si="163">+SUM(O344:R344)</f>
        <v>4</v>
      </c>
      <c r="U344" s="172">
        <v>19800000</v>
      </c>
      <c r="V344" s="172">
        <v>20394000</v>
      </c>
      <c r="W344" s="172">
        <v>19535414</v>
      </c>
      <c r="X344" s="172">
        <v>19506403</v>
      </c>
      <c r="Y344" s="172">
        <f t="shared" si="153"/>
        <v>79235817</v>
      </c>
      <c r="Z344" s="184">
        <f>+SUM(Y344)</f>
        <v>79235817</v>
      </c>
      <c r="AA344" s="172"/>
      <c r="AB344" s="1053">
        <f>+SUM(AA344)</f>
        <v>0</v>
      </c>
      <c r="AC344" s="173">
        <f t="shared" si="162"/>
        <v>0</v>
      </c>
      <c r="AD344" s="174">
        <f>Y344</f>
        <v>79235817</v>
      </c>
      <c r="AE344" s="1053">
        <f>+SUM(AD344)</f>
        <v>79235817</v>
      </c>
      <c r="AF344" s="173">
        <f t="shared" si="154"/>
        <v>1</v>
      </c>
      <c r="AG344" s="174"/>
      <c r="AH344" s="184">
        <f>+SUM(AG344)</f>
        <v>0</v>
      </c>
      <c r="AI344" s="173">
        <f t="shared" si="155"/>
        <v>0</v>
      </c>
      <c r="AJ344" s="174"/>
      <c r="AK344" s="184">
        <f>+SUM(AJ344)</f>
        <v>0</v>
      </c>
      <c r="AL344" s="173">
        <f t="shared" si="156"/>
        <v>0</v>
      </c>
      <c r="AM344" s="174"/>
      <c r="AN344" s="184">
        <f>+SUM(AM344)</f>
        <v>0</v>
      </c>
      <c r="AO344" s="173">
        <f t="shared" si="157"/>
        <v>0</v>
      </c>
      <c r="AP344" s="1010">
        <f t="shared" si="158"/>
        <v>79235817</v>
      </c>
      <c r="AQ344" s="18" t="str">
        <f t="shared" si="159"/>
        <v>Bien</v>
      </c>
      <c r="AR344" s="1150" t="s">
        <v>1235</v>
      </c>
    </row>
    <row r="345" spans="1:44" s="288" customFormat="1" ht="54" customHeight="1" thickBot="1" x14ac:dyDescent="0.3">
      <c r="A345" s="1837" t="s">
        <v>765</v>
      </c>
      <c r="B345" s="1840" t="s">
        <v>483</v>
      </c>
      <c r="C345" s="2185" t="s">
        <v>1112</v>
      </c>
      <c r="D345" s="2226" t="s">
        <v>1114</v>
      </c>
      <c r="E345" s="1842" t="s">
        <v>484</v>
      </c>
      <c r="F345" s="1830" t="s">
        <v>766</v>
      </c>
      <c r="G345" s="1843" t="s">
        <v>485</v>
      </c>
      <c r="H345" s="1268">
        <v>167975</v>
      </c>
      <c r="I345" s="1844">
        <v>1</v>
      </c>
      <c r="J345" s="1831" t="s">
        <v>486</v>
      </c>
      <c r="K345" s="563" t="s">
        <v>692</v>
      </c>
      <c r="L345" s="564" t="s">
        <v>767</v>
      </c>
      <c r="M345" s="565">
        <v>167975</v>
      </c>
      <c r="N345" s="566">
        <v>1</v>
      </c>
      <c r="O345" s="567">
        <v>1</v>
      </c>
      <c r="P345" s="567">
        <v>1</v>
      </c>
      <c r="Q345" s="567">
        <v>1</v>
      </c>
      <c r="R345" s="567">
        <v>1</v>
      </c>
      <c r="S345" s="568">
        <v>300000000</v>
      </c>
      <c r="T345" s="569">
        <v>100000</v>
      </c>
      <c r="U345" s="570">
        <v>149587343.42105269</v>
      </c>
      <c r="V345" s="570">
        <v>101644736.84210527</v>
      </c>
      <c r="W345" s="570">
        <v>104694078.94736843</v>
      </c>
      <c r="X345" s="570">
        <v>107834901.31578948</v>
      </c>
      <c r="Y345" s="571">
        <f t="shared" si="153"/>
        <v>463761060.52631587</v>
      </c>
      <c r="Z345" s="1832">
        <f>+SUM(Y345:Y349)</f>
        <v>2127695226.1493125</v>
      </c>
      <c r="AA345" s="571"/>
      <c r="AB345" s="1857">
        <f>+SUM(AA345:AA349)</f>
        <v>1385715393.1493127</v>
      </c>
      <c r="AC345" s="572">
        <f t="shared" si="162"/>
        <v>0</v>
      </c>
      <c r="AD345" s="571">
        <v>463761060.52631587</v>
      </c>
      <c r="AE345" s="1857">
        <f>+SUM(AD345:AD349)</f>
        <v>741979833</v>
      </c>
      <c r="AF345" s="572">
        <f t="shared" si="154"/>
        <v>1</v>
      </c>
      <c r="AG345" s="573"/>
      <c r="AH345" s="1832">
        <f>+SUM(AG345:AG349)</f>
        <v>0</v>
      </c>
      <c r="AI345" s="572">
        <f t="shared" si="155"/>
        <v>0</v>
      </c>
      <c r="AJ345" s="573"/>
      <c r="AK345" s="1832">
        <f>+SUM(AJ345:AJ349)</f>
        <v>0</v>
      </c>
      <c r="AL345" s="572">
        <f t="shared" si="156"/>
        <v>0</v>
      </c>
      <c r="AM345" s="573"/>
      <c r="AN345" s="1832">
        <f>+SUM(AM345:AM349)</f>
        <v>0</v>
      </c>
      <c r="AO345" s="286">
        <f t="shared" si="157"/>
        <v>0</v>
      </c>
      <c r="AP345" s="1012">
        <f t="shared" si="158"/>
        <v>463761060.52631587</v>
      </c>
      <c r="AQ345" s="287" t="str">
        <f t="shared" si="159"/>
        <v>Bien</v>
      </c>
      <c r="AR345" s="1152" t="s">
        <v>1238</v>
      </c>
    </row>
    <row r="346" spans="1:44" s="288" customFormat="1" ht="29.25" customHeight="1" thickBot="1" x14ac:dyDescent="0.3">
      <c r="A346" s="1838"/>
      <c r="B346" s="1841"/>
      <c r="C346" s="2185"/>
      <c r="D346" s="2226"/>
      <c r="E346" s="1234"/>
      <c r="F346" s="1230"/>
      <c r="G346" s="1230"/>
      <c r="H346" s="1230"/>
      <c r="I346" s="1230"/>
      <c r="J346" s="1207"/>
      <c r="K346" s="563" t="s">
        <v>693</v>
      </c>
      <c r="L346" s="564" t="s">
        <v>39</v>
      </c>
      <c r="M346" s="564">
        <v>0</v>
      </c>
      <c r="N346" s="566">
        <v>0.75</v>
      </c>
      <c r="O346" s="567">
        <v>0.15</v>
      </c>
      <c r="P346" s="574">
        <v>0.2</v>
      </c>
      <c r="Q346" s="574">
        <v>0.2</v>
      </c>
      <c r="R346" s="574">
        <v>0.2</v>
      </c>
      <c r="S346" s="568">
        <v>159117450</v>
      </c>
      <c r="T346" s="569">
        <v>1</v>
      </c>
      <c r="U346" s="570">
        <v>103071751.14931267</v>
      </c>
      <c r="V346" s="570">
        <v>58717988</v>
      </c>
      <c r="W346" s="570">
        <v>60479528</v>
      </c>
      <c r="X346" s="570">
        <v>62293912</v>
      </c>
      <c r="Y346" s="571">
        <f t="shared" si="153"/>
        <v>284563179.14931267</v>
      </c>
      <c r="Z346" s="1205"/>
      <c r="AA346" s="571">
        <v>284563179.14931267</v>
      </c>
      <c r="AB346" s="1203"/>
      <c r="AC346" s="572">
        <f t="shared" si="162"/>
        <v>1</v>
      </c>
      <c r="AD346" s="573"/>
      <c r="AE346" s="1203"/>
      <c r="AF346" s="572">
        <f t="shared" si="154"/>
        <v>0</v>
      </c>
      <c r="AG346" s="573"/>
      <c r="AH346" s="1205"/>
      <c r="AI346" s="572">
        <f t="shared" si="155"/>
        <v>0</v>
      </c>
      <c r="AJ346" s="573"/>
      <c r="AK346" s="1205"/>
      <c r="AL346" s="572">
        <f t="shared" si="156"/>
        <v>0</v>
      </c>
      <c r="AM346" s="573"/>
      <c r="AN346" s="1205"/>
      <c r="AO346" s="286">
        <f t="shared" si="157"/>
        <v>0</v>
      </c>
      <c r="AP346" s="1012">
        <f t="shared" si="158"/>
        <v>284563179.14931267</v>
      </c>
      <c r="AQ346" s="287" t="str">
        <f t="shared" si="159"/>
        <v>Bien</v>
      </c>
      <c r="AR346" s="1152" t="s">
        <v>1238</v>
      </c>
    </row>
    <row r="347" spans="1:44" s="288" customFormat="1" ht="56.25" customHeight="1" thickBot="1" x14ac:dyDescent="0.3">
      <c r="A347" s="1838"/>
      <c r="B347" s="1841"/>
      <c r="C347" s="2185"/>
      <c r="D347" s="2226"/>
      <c r="E347" s="1234"/>
      <c r="F347" s="1830" t="s">
        <v>768</v>
      </c>
      <c r="G347" s="1267" t="s">
        <v>769</v>
      </c>
      <c r="H347" s="1268">
        <v>82759</v>
      </c>
      <c r="I347" s="1269">
        <v>1</v>
      </c>
      <c r="J347" s="1206" t="s">
        <v>487</v>
      </c>
      <c r="K347" s="563" t="s">
        <v>694</v>
      </c>
      <c r="L347" s="564" t="s">
        <v>39</v>
      </c>
      <c r="M347" s="564">
        <v>0</v>
      </c>
      <c r="N347" s="566">
        <v>1</v>
      </c>
      <c r="O347" s="567">
        <v>0.25</v>
      </c>
      <c r="P347" s="574">
        <v>0.25</v>
      </c>
      <c r="Q347" s="574">
        <v>0.25</v>
      </c>
      <c r="R347" s="574">
        <v>0.25</v>
      </c>
      <c r="S347" s="568"/>
      <c r="T347" s="569">
        <v>1</v>
      </c>
      <c r="U347" s="575">
        <v>252205160</v>
      </c>
      <c r="V347" s="575">
        <v>260101314</v>
      </c>
      <c r="W347" s="575">
        <v>268234324</v>
      </c>
      <c r="X347" s="575">
        <v>274170794</v>
      </c>
      <c r="Y347" s="571">
        <f t="shared" si="153"/>
        <v>1054711592</v>
      </c>
      <c r="Z347" s="1205"/>
      <c r="AA347" s="571">
        <f>+Y347</f>
        <v>1054711592</v>
      </c>
      <c r="AB347" s="1203"/>
      <c r="AC347" s="572"/>
      <c r="AD347" s="573"/>
      <c r="AE347" s="1203"/>
      <c r="AF347" s="572"/>
      <c r="AG347" s="573"/>
      <c r="AH347" s="1205"/>
      <c r="AI347" s="572"/>
      <c r="AJ347" s="573"/>
      <c r="AK347" s="1205"/>
      <c r="AL347" s="572"/>
      <c r="AM347" s="573"/>
      <c r="AN347" s="1205"/>
      <c r="AO347" s="286"/>
      <c r="AP347" s="1012">
        <f t="shared" si="158"/>
        <v>1054711592</v>
      </c>
      <c r="AQ347" s="287" t="str">
        <f t="shared" si="159"/>
        <v>Bien</v>
      </c>
      <c r="AR347" s="1152" t="s">
        <v>1238</v>
      </c>
    </row>
    <row r="348" spans="1:44" s="288" customFormat="1" ht="35.25" customHeight="1" thickBot="1" x14ac:dyDescent="0.3">
      <c r="A348" s="1838"/>
      <c r="B348" s="1841"/>
      <c r="C348" s="2185"/>
      <c r="D348" s="2226"/>
      <c r="E348" s="1234"/>
      <c r="F348" s="1205"/>
      <c r="G348" s="1230"/>
      <c r="H348" s="1230"/>
      <c r="I348" s="1230"/>
      <c r="J348" s="1207"/>
      <c r="K348" s="563" t="s">
        <v>764</v>
      </c>
      <c r="L348" s="564" t="s">
        <v>262</v>
      </c>
      <c r="M348" s="564">
        <v>1</v>
      </c>
      <c r="N348" s="576">
        <v>3</v>
      </c>
      <c r="O348" s="577">
        <v>1</v>
      </c>
      <c r="P348" s="578"/>
      <c r="Q348" s="578">
        <v>1</v>
      </c>
      <c r="R348" s="579"/>
      <c r="S348" s="568"/>
      <c r="T348" s="569">
        <v>2</v>
      </c>
      <c r="U348" s="575">
        <v>11000000</v>
      </c>
      <c r="V348" s="575">
        <v>11789615</v>
      </c>
      <c r="W348" s="575">
        <v>11813304</v>
      </c>
      <c r="X348" s="575">
        <v>11837703</v>
      </c>
      <c r="Y348" s="571">
        <f t="shared" si="153"/>
        <v>46440622</v>
      </c>
      <c r="Z348" s="1205"/>
      <c r="AA348" s="571">
        <f>+Y348</f>
        <v>46440622</v>
      </c>
      <c r="AB348" s="1203"/>
      <c r="AC348" s="572">
        <f t="shared" ref="AC348:AC351" si="164">+AA348/Y348</f>
        <v>1</v>
      </c>
      <c r="AD348" s="573"/>
      <c r="AE348" s="1203"/>
      <c r="AF348" s="572">
        <f t="shared" ref="AF348:AF351" si="165">+AD348/Y348</f>
        <v>0</v>
      </c>
      <c r="AG348" s="573"/>
      <c r="AH348" s="1205"/>
      <c r="AI348" s="572">
        <f t="shared" ref="AI348:AI351" si="166">+AG348/Y348</f>
        <v>0</v>
      </c>
      <c r="AJ348" s="573"/>
      <c r="AK348" s="1205"/>
      <c r="AL348" s="572">
        <f t="shared" ref="AL348:AL351" si="167">+AJ348/Y348</f>
        <v>0</v>
      </c>
      <c r="AM348" s="573"/>
      <c r="AN348" s="1205"/>
      <c r="AO348" s="286">
        <f t="shared" ref="AO348:AO351" si="168">+AM348/Y348</f>
        <v>0</v>
      </c>
      <c r="AP348" s="1012">
        <f t="shared" si="158"/>
        <v>46440622</v>
      </c>
      <c r="AQ348" s="287" t="str">
        <f t="shared" si="159"/>
        <v>Bien</v>
      </c>
      <c r="AR348" s="1152" t="s">
        <v>1238</v>
      </c>
    </row>
    <row r="349" spans="1:44" s="288" customFormat="1" ht="63.75" customHeight="1" thickBot="1" x14ac:dyDescent="0.3">
      <c r="A349" s="1838"/>
      <c r="B349" s="1841"/>
      <c r="C349" s="1129" t="s">
        <v>1113</v>
      </c>
      <c r="D349" s="1130" t="s">
        <v>1115</v>
      </c>
      <c r="E349" s="1235"/>
      <c r="F349" s="580" t="s">
        <v>488</v>
      </c>
      <c r="G349" s="1143" t="s">
        <v>39</v>
      </c>
      <c r="H349" s="578">
        <v>0</v>
      </c>
      <c r="I349" s="574">
        <v>1</v>
      </c>
      <c r="J349" s="1163" t="s">
        <v>489</v>
      </c>
      <c r="K349" s="580" t="s">
        <v>490</v>
      </c>
      <c r="L349" s="1143" t="s">
        <v>770</v>
      </c>
      <c r="M349" s="564">
        <v>0</v>
      </c>
      <c r="N349" s="564">
        <v>1</v>
      </c>
      <c r="O349" s="581"/>
      <c r="P349" s="581">
        <v>0.25</v>
      </c>
      <c r="Q349" s="581">
        <v>0.25</v>
      </c>
      <c r="R349" s="581">
        <v>0.5</v>
      </c>
      <c r="S349" s="568">
        <v>156000000</v>
      </c>
      <c r="T349" s="569">
        <v>1</v>
      </c>
      <c r="U349" s="570"/>
      <c r="V349" s="570">
        <v>52855263.157894738</v>
      </c>
      <c r="W349" s="570">
        <v>54440921.052631579</v>
      </c>
      <c r="X349" s="570">
        <f>56074148.6842105+114848439.578947</f>
        <v>170922588.26315749</v>
      </c>
      <c r="Y349" s="571">
        <f t="shared" si="153"/>
        <v>278218772.47368383</v>
      </c>
      <c r="Z349" s="1230"/>
      <c r="AA349" s="571"/>
      <c r="AB349" s="1274"/>
      <c r="AC349" s="572">
        <f t="shared" si="164"/>
        <v>0</v>
      </c>
      <c r="AD349" s="571">
        <v>278218772.47368419</v>
      </c>
      <c r="AE349" s="1274"/>
      <c r="AF349" s="572">
        <f t="shared" si="165"/>
        <v>1.0000000000000013</v>
      </c>
      <c r="AG349" s="573"/>
      <c r="AH349" s="1230"/>
      <c r="AI349" s="572">
        <f t="shared" si="166"/>
        <v>0</v>
      </c>
      <c r="AJ349" s="573"/>
      <c r="AK349" s="1230"/>
      <c r="AL349" s="572">
        <f t="shared" si="167"/>
        <v>0</v>
      </c>
      <c r="AM349" s="573"/>
      <c r="AN349" s="1230"/>
      <c r="AO349" s="286">
        <f t="shared" si="168"/>
        <v>0</v>
      </c>
      <c r="AP349" s="1012">
        <f t="shared" si="158"/>
        <v>278218772.47368419</v>
      </c>
      <c r="AQ349" s="287" t="str">
        <f t="shared" si="159"/>
        <v>Bien</v>
      </c>
      <c r="AR349" s="1152" t="s">
        <v>1238</v>
      </c>
    </row>
    <row r="350" spans="1:44" s="288" customFormat="1" ht="37.5" customHeight="1" thickBot="1" x14ac:dyDescent="0.3">
      <c r="A350" s="1838"/>
      <c r="B350" s="1841"/>
      <c r="C350" s="2227">
        <v>4002</v>
      </c>
      <c r="D350" s="2227" t="s">
        <v>1116</v>
      </c>
      <c r="E350" s="1168" t="s">
        <v>491</v>
      </c>
      <c r="F350" s="1221" t="s">
        <v>492</v>
      </c>
      <c r="G350" s="1275" t="s">
        <v>763</v>
      </c>
      <c r="H350" s="1231">
        <v>0</v>
      </c>
      <c r="I350" s="1231">
        <v>4</v>
      </c>
      <c r="J350" s="582" t="s">
        <v>771</v>
      </c>
      <c r="K350" s="580" t="s">
        <v>493</v>
      </c>
      <c r="L350" s="564" t="s">
        <v>39</v>
      </c>
      <c r="M350" s="574">
        <v>0</v>
      </c>
      <c r="N350" s="574">
        <v>1</v>
      </c>
      <c r="O350" s="567">
        <v>0.4</v>
      </c>
      <c r="P350" s="574">
        <v>0.2</v>
      </c>
      <c r="Q350" s="574">
        <v>0.2</v>
      </c>
      <c r="R350" s="574">
        <v>0.2</v>
      </c>
      <c r="S350" s="568">
        <v>345000000</v>
      </c>
      <c r="T350" s="569">
        <v>1</v>
      </c>
      <c r="U350" s="570">
        <v>303000000</v>
      </c>
      <c r="V350" s="570">
        <v>127312910</v>
      </c>
      <c r="W350" s="570">
        <v>131132296</v>
      </c>
      <c r="X350" s="570">
        <v>135066266</v>
      </c>
      <c r="Y350" s="571">
        <f t="shared" si="153"/>
        <v>696511472</v>
      </c>
      <c r="Z350" s="583">
        <f>+SUM(Y350)</f>
        <v>696511472</v>
      </c>
      <c r="AA350" s="571">
        <v>696511472</v>
      </c>
      <c r="AB350" s="1054">
        <f>+SUM(AA350)</f>
        <v>696511472</v>
      </c>
      <c r="AC350" s="572">
        <f t="shared" si="164"/>
        <v>1</v>
      </c>
      <c r="AD350" s="573"/>
      <c r="AE350" s="1054">
        <f>+SUM(AD350)</f>
        <v>0</v>
      </c>
      <c r="AF350" s="572">
        <f t="shared" si="165"/>
        <v>0</v>
      </c>
      <c r="AG350" s="573"/>
      <c r="AH350" s="583">
        <f>+SUM(AG350)</f>
        <v>0</v>
      </c>
      <c r="AI350" s="572">
        <f t="shared" si="166"/>
        <v>0</v>
      </c>
      <c r="AJ350" s="573"/>
      <c r="AK350" s="583">
        <f>+SUM(AJ350)</f>
        <v>0</v>
      </c>
      <c r="AL350" s="572">
        <f t="shared" si="167"/>
        <v>0</v>
      </c>
      <c r="AM350" s="573"/>
      <c r="AN350" s="583">
        <f>+SUM(AM350)</f>
        <v>0</v>
      </c>
      <c r="AO350" s="286">
        <f t="shared" si="168"/>
        <v>0</v>
      </c>
      <c r="AP350" s="1012">
        <f t="shared" si="158"/>
        <v>696511472</v>
      </c>
      <c r="AQ350" s="287" t="str">
        <f t="shared" si="159"/>
        <v>Bien</v>
      </c>
      <c r="AR350" s="1152" t="s">
        <v>1238</v>
      </c>
    </row>
    <row r="351" spans="1:44" s="288" customFormat="1" ht="28.5" customHeight="1" thickBot="1" x14ac:dyDescent="0.3">
      <c r="A351" s="1838"/>
      <c r="B351" s="1841"/>
      <c r="C351" s="2227"/>
      <c r="D351" s="2227"/>
      <c r="E351" s="1278" t="s">
        <v>494</v>
      </c>
      <c r="F351" s="1205"/>
      <c r="G351" s="1276"/>
      <c r="H351" s="1205"/>
      <c r="I351" s="1205"/>
      <c r="J351" s="1206" t="s">
        <v>495</v>
      </c>
      <c r="K351" s="563" t="s">
        <v>772</v>
      </c>
      <c r="L351" s="564" t="s">
        <v>347</v>
      </c>
      <c r="M351" s="566">
        <v>0</v>
      </c>
      <c r="N351" s="566">
        <v>1</v>
      </c>
      <c r="O351" s="567">
        <v>0.6</v>
      </c>
      <c r="P351" s="574">
        <v>0.4</v>
      </c>
      <c r="Q351" s="574"/>
      <c r="R351" s="574"/>
      <c r="S351" s="578">
        <v>282000000</v>
      </c>
      <c r="T351" s="569">
        <v>1</v>
      </c>
      <c r="U351" s="570">
        <v>270387977.52830189</v>
      </c>
      <c r="V351" s="570">
        <v>157647138.96457767</v>
      </c>
      <c r="W351" s="570">
        <v>0</v>
      </c>
      <c r="X351" s="570">
        <v>0</v>
      </c>
      <c r="Y351" s="571">
        <f t="shared" si="153"/>
        <v>428035116.49287957</v>
      </c>
      <c r="Z351" s="1204">
        <f>+SUM(Y351:Y353)</f>
        <v>1529579806.1259904</v>
      </c>
      <c r="AA351" s="571"/>
      <c r="AB351" s="1202">
        <f>+SUM(AA351:AA353)</f>
        <v>0</v>
      </c>
      <c r="AC351" s="572">
        <f t="shared" si="164"/>
        <v>0</v>
      </c>
      <c r="AD351" s="571">
        <v>428035116.49287957</v>
      </c>
      <c r="AE351" s="1202">
        <f>+SUM(AD351:AD353)</f>
        <v>1529579806.1259904</v>
      </c>
      <c r="AF351" s="572">
        <f t="shared" si="165"/>
        <v>1</v>
      </c>
      <c r="AG351" s="573"/>
      <c r="AH351" s="1204">
        <f>+SUM(AG351:AG353)</f>
        <v>0</v>
      </c>
      <c r="AI351" s="572">
        <f t="shared" si="166"/>
        <v>0</v>
      </c>
      <c r="AJ351" s="573"/>
      <c r="AK351" s="1204">
        <f>+SUM(AJ351:AJ353)</f>
        <v>0</v>
      </c>
      <c r="AL351" s="572">
        <f t="shared" si="167"/>
        <v>0</v>
      </c>
      <c r="AM351" s="573"/>
      <c r="AN351" s="1204">
        <f>+SUM(AM351:AM353)</f>
        <v>0</v>
      </c>
      <c r="AO351" s="286">
        <f t="shared" si="168"/>
        <v>0</v>
      </c>
      <c r="AP351" s="1012">
        <f t="shared" si="158"/>
        <v>428035116.49287957</v>
      </c>
      <c r="AQ351" s="287" t="str">
        <f t="shared" si="159"/>
        <v>Bien</v>
      </c>
      <c r="AR351" s="1152" t="s">
        <v>1238</v>
      </c>
    </row>
    <row r="352" spans="1:44" s="288" customFormat="1" ht="35.25" customHeight="1" thickBot="1" x14ac:dyDescent="0.3">
      <c r="A352" s="1838"/>
      <c r="B352" s="1841"/>
      <c r="C352" s="2227"/>
      <c r="D352" s="2227"/>
      <c r="E352" s="1279"/>
      <c r="F352" s="1205"/>
      <c r="G352" s="1276"/>
      <c r="H352" s="1205"/>
      <c r="I352" s="1205"/>
      <c r="J352" s="1281"/>
      <c r="K352" s="563" t="s">
        <v>496</v>
      </c>
      <c r="L352" s="564" t="s">
        <v>39</v>
      </c>
      <c r="M352" s="564">
        <v>0</v>
      </c>
      <c r="N352" s="566">
        <v>0.25</v>
      </c>
      <c r="O352" s="567">
        <v>0.05</v>
      </c>
      <c r="P352" s="574">
        <v>0.05</v>
      </c>
      <c r="Q352" s="574">
        <v>7.4999999999999997E-2</v>
      </c>
      <c r="R352" s="574">
        <v>7.4999999999999997E-2</v>
      </c>
      <c r="S352" s="578">
        <v>210000000</v>
      </c>
      <c r="T352" s="584">
        <f t="shared" ref="T352:T356" si="169">+O352+P352+Q352+R352</f>
        <v>0.25</v>
      </c>
      <c r="U352" s="570">
        <v>157901958.58490565</v>
      </c>
      <c r="V352" s="570">
        <v>162077656.67574933</v>
      </c>
      <c r="W352" s="570">
        <v>304810820.89552236</v>
      </c>
      <c r="X352" s="570">
        <v>313955145.52238804</v>
      </c>
      <c r="Y352" s="571">
        <f t="shared" si="153"/>
        <v>938745581.67856526</v>
      </c>
      <c r="Z352" s="1205"/>
      <c r="AA352" s="571"/>
      <c r="AB352" s="1203"/>
      <c r="AC352" s="572"/>
      <c r="AD352" s="573">
        <v>938745581.67856526</v>
      </c>
      <c r="AE352" s="1203"/>
      <c r="AF352" s="572"/>
      <c r="AG352" s="573"/>
      <c r="AH352" s="1205"/>
      <c r="AI352" s="572"/>
      <c r="AJ352" s="573"/>
      <c r="AK352" s="1205"/>
      <c r="AL352" s="572"/>
      <c r="AM352" s="573"/>
      <c r="AN352" s="1205"/>
      <c r="AO352" s="286"/>
      <c r="AP352" s="1012">
        <f t="shared" si="158"/>
        <v>938745581.67856526</v>
      </c>
      <c r="AQ352" s="287" t="str">
        <f t="shared" si="159"/>
        <v>Bien</v>
      </c>
      <c r="AR352" s="1152" t="s">
        <v>1238</v>
      </c>
    </row>
    <row r="353" spans="1:44" s="288" customFormat="1" ht="42.75" customHeight="1" x14ac:dyDescent="0.25">
      <c r="A353" s="1838"/>
      <c r="B353" s="1841"/>
      <c r="C353" s="2227"/>
      <c r="D353" s="2227"/>
      <c r="E353" s="1280"/>
      <c r="F353" s="1205"/>
      <c r="G353" s="1276"/>
      <c r="H353" s="1205"/>
      <c r="I353" s="1205"/>
      <c r="J353" s="1207"/>
      <c r="K353" s="563" t="s">
        <v>695</v>
      </c>
      <c r="L353" s="564" t="s">
        <v>696</v>
      </c>
      <c r="M353" s="564">
        <v>5</v>
      </c>
      <c r="N353" s="564">
        <v>8</v>
      </c>
      <c r="O353" s="577"/>
      <c r="P353" s="578">
        <v>1</v>
      </c>
      <c r="Q353" s="578">
        <v>1</v>
      </c>
      <c r="R353" s="578">
        <v>1</v>
      </c>
      <c r="S353" s="568">
        <v>90000000</v>
      </c>
      <c r="T353" s="578">
        <f t="shared" si="169"/>
        <v>3</v>
      </c>
      <c r="U353" s="570">
        <v>0</v>
      </c>
      <c r="V353" s="570">
        <v>52670454.545454547</v>
      </c>
      <c r="W353" s="570">
        <v>54250568.18181818</v>
      </c>
      <c r="X353" s="570">
        <v>55878085.227272727</v>
      </c>
      <c r="Y353" s="571">
        <f t="shared" si="153"/>
        <v>162799107.95454544</v>
      </c>
      <c r="Z353" s="1230"/>
      <c r="AA353" s="571"/>
      <c r="AB353" s="1274"/>
      <c r="AC353" s="572"/>
      <c r="AD353" s="573">
        <v>162799107.95454544</v>
      </c>
      <c r="AE353" s="1274"/>
      <c r="AF353" s="572"/>
      <c r="AG353" s="573"/>
      <c r="AH353" s="1230"/>
      <c r="AI353" s="572"/>
      <c r="AJ353" s="573"/>
      <c r="AK353" s="1230"/>
      <c r="AL353" s="572"/>
      <c r="AM353" s="573"/>
      <c r="AN353" s="1230"/>
      <c r="AO353" s="286"/>
      <c r="AP353" s="1012">
        <f t="shared" si="158"/>
        <v>162799107.95454544</v>
      </c>
      <c r="AQ353" s="287" t="str">
        <f t="shared" si="159"/>
        <v>Bien</v>
      </c>
      <c r="AR353" s="1152" t="s">
        <v>1238</v>
      </c>
    </row>
    <row r="354" spans="1:44" s="288" customFormat="1" ht="54" customHeight="1" thickBot="1" x14ac:dyDescent="0.3">
      <c r="A354" s="1838"/>
      <c r="B354" s="1841"/>
      <c r="C354" s="2227"/>
      <c r="D354" s="2227"/>
      <c r="E354" s="1233" t="s">
        <v>497</v>
      </c>
      <c r="F354" s="1205"/>
      <c r="G354" s="1276"/>
      <c r="H354" s="1205"/>
      <c r="I354" s="1205"/>
      <c r="J354" s="1162" t="s">
        <v>697</v>
      </c>
      <c r="K354" s="580" t="s">
        <v>498</v>
      </c>
      <c r="L354" s="564" t="s">
        <v>39</v>
      </c>
      <c r="M354" s="574">
        <v>0</v>
      </c>
      <c r="N354" s="574">
        <v>1</v>
      </c>
      <c r="O354" s="567">
        <v>0.25</v>
      </c>
      <c r="P354" s="574">
        <v>0.25</v>
      </c>
      <c r="Q354" s="574">
        <v>0.25</v>
      </c>
      <c r="R354" s="574">
        <v>0.25</v>
      </c>
      <c r="S354" s="568">
        <v>524167450</v>
      </c>
      <c r="T354" s="584">
        <f t="shared" si="169"/>
        <v>1</v>
      </c>
      <c r="U354" s="570">
        <v>273277274</v>
      </c>
      <c r="V354" s="570">
        <v>193429806</v>
      </c>
      <c r="W354" s="570">
        <v>199232700</v>
      </c>
      <c r="X354" s="570">
        <v>205209680</v>
      </c>
      <c r="Y354" s="571">
        <f t="shared" si="153"/>
        <v>871149460</v>
      </c>
      <c r="Z354" s="1204">
        <f>+SUM(Y354:Y358)</f>
        <v>1708134756.0970426</v>
      </c>
      <c r="AA354" s="571">
        <v>871149460</v>
      </c>
      <c r="AB354" s="1202">
        <f>+SUM(AA354:AA358)</f>
        <v>871149460</v>
      </c>
      <c r="AC354" s="572"/>
      <c r="AD354" s="573"/>
      <c r="AE354" s="1202">
        <f>+SUM(AD354:AD358)</f>
        <v>836985296.09704244</v>
      </c>
      <c r="AF354" s="572"/>
      <c r="AG354" s="573"/>
      <c r="AH354" s="1204">
        <f>+SUM(AG354:AG358)</f>
        <v>0</v>
      </c>
      <c r="AI354" s="572"/>
      <c r="AJ354" s="573"/>
      <c r="AK354" s="1204">
        <f>+SUM(AJ354:AJ358)</f>
        <v>0</v>
      </c>
      <c r="AL354" s="572"/>
      <c r="AM354" s="573"/>
      <c r="AN354" s="1204">
        <f>+SUM(AM354:AM358)</f>
        <v>0</v>
      </c>
      <c r="AO354" s="286"/>
      <c r="AP354" s="1012">
        <f t="shared" si="158"/>
        <v>871149460</v>
      </c>
      <c r="AQ354" s="287" t="str">
        <f t="shared" si="159"/>
        <v>Bien</v>
      </c>
      <c r="AR354" s="1152" t="s">
        <v>1238</v>
      </c>
    </row>
    <row r="355" spans="1:44" s="288" customFormat="1" ht="47.25" customHeight="1" thickBot="1" x14ac:dyDescent="0.3">
      <c r="A355" s="1838"/>
      <c r="B355" s="1841"/>
      <c r="C355" s="2227"/>
      <c r="D355" s="2227"/>
      <c r="E355" s="1234"/>
      <c r="F355" s="1205"/>
      <c r="G355" s="1276"/>
      <c r="H355" s="1205"/>
      <c r="I355" s="1205"/>
      <c r="J355" s="585" t="s">
        <v>499</v>
      </c>
      <c r="K355" s="580" t="s">
        <v>773</v>
      </c>
      <c r="L355" s="564" t="s">
        <v>774</v>
      </c>
      <c r="M355" s="578">
        <v>0</v>
      </c>
      <c r="N355" s="564">
        <v>5</v>
      </c>
      <c r="O355" s="567"/>
      <c r="P355" s="578">
        <v>1</v>
      </c>
      <c r="Q355" s="578">
        <v>1</v>
      </c>
      <c r="R355" s="578">
        <v>3</v>
      </c>
      <c r="S355" s="568">
        <v>86000000</v>
      </c>
      <c r="T355" s="584">
        <f t="shared" si="169"/>
        <v>5</v>
      </c>
      <c r="U355" s="570"/>
      <c r="V355" s="570">
        <v>50329545.454545453</v>
      </c>
      <c r="W355" s="570">
        <v>51839431.81818182</v>
      </c>
      <c r="X355" s="570">
        <f>53394614.7727273+100000000</f>
        <v>153394614.77272731</v>
      </c>
      <c r="Y355" s="571">
        <f t="shared" si="153"/>
        <v>255563592.04545459</v>
      </c>
      <c r="Z355" s="1205"/>
      <c r="AA355" s="571"/>
      <c r="AB355" s="1203"/>
      <c r="AC355" s="572">
        <f t="shared" ref="AC355:AC357" si="170">+AA355/Y355</f>
        <v>0</v>
      </c>
      <c r="AD355" s="573">
        <v>255563592.04545453</v>
      </c>
      <c r="AE355" s="1203"/>
      <c r="AF355" s="572">
        <f t="shared" ref="AF355:AF361" si="171">+AD355/Y355</f>
        <v>0.99999999999999978</v>
      </c>
      <c r="AG355" s="573"/>
      <c r="AH355" s="1205"/>
      <c r="AI355" s="572">
        <f t="shared" ref="AI355:AI357" si="172">+AG355/Y355</f>
        <v>0</v>
      </c>
      <c r="AJ355" s="573"/>
      <c r="AK355" s="1205"/>
      <c r="AL355" s="572">
        <f t="shared" ref="AL355:AL357" si="173">+AJ355/Y355</f>
        <v>0</v>
      </c>
      <c r="AM355" s="573"/>
      <c r="AN355" s="1205"/>
      <c r="AO355" s="286">
        <f t="shared" ref="AO355:AO357" si="174">+AM355/Y355</f>
        <v>0</v>
      </c>
      <c r="AP355" s="1012">
        <f t="shared" si="158"/>
        <v>255563592.04545453</v>
      </c>
      <c r="AQ355" s="287" t="str">
        <f t="shared" si="159"/>
        <v>Bien</v>
      </c>
      <c r="AR355" s="1152" t="s">
        <v>1238</v>
      </c>
    </row>
    <row r="356" spans="1:44" s="288" customFormat="1" ht="78" customHeight="1" x14ac:dyDescent="0.25">
      <c r="A356" s="1838"/>
      <c r="B356" s="1841"/>
      <c r="C356" s="2227"/>
      <c r="D356" s="2227"/>
      <c r="E356" s="1234"/>
      <c r="F356" s="1205"/>
      <c r="G356" s="1276"/>
      <c r="H356" s="1205"/>
      <c r="I356" s="1205"/>
      <c r="J356" s="582" t="s">
        <v>500</v>
      </c>
      <c r="K356" s="1142" t="s">
        <v>1164</v>
      </c>
      <c r="L356" s="564" t="s">
        <v>501</v>
      </c>
      <c r="M356" s="578">
        <v>0</v>
      </c>
      <c r="N356" s="578">
        <v>4</v>
      </c>
      <c r="O356" s="577"/>
      <c r="P356" s="578">
        <v>1</v>
      </c>
      <c r="Q356" s="578">
        <v>1</v>
      </c>
      <c r="R356" s="578">
        <v>2</v>
      </c>
      <c r="S356" s="578">
        <v>92000000</v>
      </c>
      <c r="T356" s="578">
        <f t="shared" si="169"/>
        <v>4</v>
      </c>
      <c r="U356" s="570">
        <v>0</v>
      </c>
      <c r="V356" s="570">
        <v>110453125.31999999</v>
      </c>
      <c r="W356" s="570">
        <v>113766719.07959999</v>
      </c>
      <c r="X356" s="570">
        <v>117179720.65198798</v>
      </c>
      <c r="Y356" s="571">
        <f t="shared" si="153"/>
        <v>341399565.05158794</v>
      </c>
      <c r="Z356" s="1205"/>
      <c r="AA356" s="571"/>
      <c r="AB356" s="1203"/>
      <c r="AC356" s="572">
        <f t="shared" si="170"/>
        <v>0</v>
      </c>
      <c r="AD356" s="573">
        <v>341399565.05158794</v>
      </c>
      <c r="AE356" s="1203"/>
      <c r="AF356" s="572">
        <f t="shared" si="171"/>
        <v>1</v>
      </c>
      <c r="AG356" s="573"/>
      <c r="AH356" s="1205"/>
      <c r="AI356" s="572">
        <f t="shared" si="172"/>
        <v>0</v>
      </c>
      <c r="AJ356" s="573"/>
      <c r="AK356" s="1205"/>
      <c r="AL356" s="572">
        <f t="shared" si="173"/>
        <v>0</v>
      </c>
      <c r="AM356" s="573"/>
      <c r="AN356" s="1205"/>
      <c r="AO356" s="286">
        <f t="shared" si="174"/>
        <v>0</v>
      </c>
      <c r="AP356" s="1012">
        <f t="shared" si="158"/>
        <v>341399565.05158794</v>
      </c>
      <c r="AQ356" s="287" t="str">
        <f t="shared" si="159"/>
        <v>Bien</v>
      </c>
      <c r="AR356" s="1152" t="s">
        <v>1238</v>
      </c>
    </row>
    <row r="357" spans="1:44" s="288" customFormat="1" ht="33.75" customHeight="1" thickBot="1" x14ac:dyDescent="0.3">
      <c r="A357" s="1838"/>
      <c r="B357" s="1841"/>
      <c r="C357" s="2227"/>
      <c r="D357" s="2227"/>
      <c r="E357" s="1234"/>
      <c r="F357" s="1205"/>
      <c r="G357" s="1276"/>
      <c r="H357" s="1205"/>
      <c r="I357" s="1205"/>
      <c r="J357" s="1831" t="s">
        <v>775</v>
      </c>
      <c r="K357" s="1223" t="s">
        <v>502</v>
      </c>
      <c r="L357" s="1223" t="s">
        <v>309</v>
      </c>
      <c r="M357" s="1231">
        <v>0</v>
      </c>
      <c r="N357" s="1231">
        <v>1</v>
      </c>
      <c r="O357" s="1224"/>
      <c r="P357" s="1231"/>
      <c r="Q357" s="1231">
        <v>1</v>
      </c>
      <c r="R357" s="1224"/>
      <c r="S357" s="578">
        <v>50000000</v>
      </c>
      <c r="T357" s="584" t="e">
        <f>+O357+P357+#REF!+#REF!</f>
        <v>#REF!</v>
      </c>
      <c r="U357" s="1232">
        <v>0</v>
      </c>
      <c r="V357" s="1232"/>
      <c r="W357" s="1232">
        <v>240022139</v>
      </c>
      <c r="X357" s="1232"/>
      <c r="Y357" s="1264">
        <f t="shared" si="153"/>
        <v>240022139</v>
      </c>
      <c r="Z357" s="1205"/>
      <c r="AA357" s="1264"/>
      <c r="AB357" s="1203"/>
      <c r="AC357" s="572">
        <f t="shared" si="170"/>
        <v>0</v>
      </c>
      <c r="AD357" s="1264">
        <f>+Y357</f>
        <v>240022139</v>
      </c>
      <c r="AE357" s="1203"/>
      <c r="AF357" s="572">
        <f t="shared" si="171"/>
        <v>1</v>
      </c>
      <c r="AG357" s="1265"/>
      <c r="AH357" s="1205"/>
      <c r="AI357" s="572">
        <f t="shared" si="172"/>
        <v>0</v>
      </c>
      <c r="AJ357" s="1265"/>
      <c r="AK357" s="1205"/>
      <c r="AL357" s="572">
        <f t="shared" si="173"/>
        <v>0</v>
      </c>
      <c r="AM357" s="1265"/>
      <c r="AN357" s="1205"/>
      <c r="AO357" s="286">
        <f t="shared" si="174"/>
        <v>0</v>
      </c>
      <c r="AP357" s="1012">
        <f t="shared" si="158"/>
        <v>240022139</v>
      </c>
      <c r="AQ357" s="287" t="str">
        <f t="shared" si="159"/>
        <v>Bien</v>
      </c>
      <c r="AR357" s="1152" t="s">
        <v>1238</v>
      </c>
    </row>
    <row r="358" spans="1:44" s="288" customFormat="1" ht="30" customHeight="1" thickBot="1" x14ac:dyDescent="0.3">
      <c r="A358" s="1838"/>
      <c r="B358" s="1841"/>
      <c r="C358" s="2227"/>
      <c r="D358" s="2227"/>
      <c r="E358" s="1235"/>
      <c r="F358" s="1230"/>
      <c r="G358" s="1277"/>
      <c r="H358" s="1230"/>
      <c r="I358" s="1230"/>
      <c r="J358" s="1207"/>
      <c r="K358" s="1230"/>
      <c r="L358" s="1230"/>
      <c r="M358" s="1230"/>
      <c r="N358" s="1230"/>
      <c r="O358" s="1230"/>
      <c r="P358" s="1230"/>
      <c r="Q358" s="1230"/>
      <c r="R358" s="1230"/>
      <c r="S358" s="578">
        <v>48000000</v>
      </c>
      <c r="T358" s="584">
        <f>+O358+P358+Q357+R357</f>
        <v>1</v>
      </c>
      <c r="U358" s="1230"/>
      <c r="V358" s="1230"/>
      <c r="W358" s="1230"/>
      <c r="X358" s="1230"/>
      <c r="Y358" s="1230"/>
      <c r="Z358" s="1230"/>
      <c r="AA358" s="1230"/>
      <c r="AB358" s="1274"/>
      <c r="AC358" s="572"/>
      <c r="AD358" s="1230"/>
      <c r="AE358" s="1274"/>
      <c r="AF358" s="572" t="e">
        <f t="shared" si="171"/>
        <v>#DIV/0!</v>
      </c>
      <c r="AG358" s="1230"/>
      <c r="AH358" s="1230"/>
      <c r="AI358" s="572"/>
      <c r="AJ358" s="1230"/>
      <c r="AK358" s="1230"/>
      <c r="AL358" s="572"/>
      <c r="AM358" s="1230"/>
      <c r="AN358" s="1230"/>
      <c r="AO358" s="286"/>
      <c r="AP358" s="1012">
        <f t="shared" si="158"/>
        <v>0</v>
      </c>
      <c r="AQ358" s="287"/>
      <c r="AR358" s="1152" t="s">
        <v>1238</v>
      </c>
    </row>
    <row r="359" spans="1:44" s="288" customFormat="1" ht="75.75" customHeight="1" thickBot="1" x14ac:dyDescent="0.3">
      <c r="A359" s="1838"/>
      <c r="B359" s="1841"/>
      <c r="C359" s="2227"/>
      <c r="D359" s="2227"/>
      <c r="E359" s="1219" t="s">
        <v>1165</v>
      </c>
      <c r="F359" s="1221" t="s">
        <v>776</v>
      </c>
      <c r="G359" s="1229" t="s">
        <v>334</v>
      </c>
      <c r="H359" s="1231">
        <v>0</v>
      </c>
      <c r="I359" s="1231">
        <v>2</v>
      </c>
      <c r="J359" s="1162" t="s">
        <v>503</v>
      </c>
      <c r="K359" s="563" t="s">
        <v>778</v>
      </c>
      <c r="L359" s="564" t="s">
        <v>39</v>
      </c>
      <c r="M359" s="566">
        <v>0.2</v>
      </c>
      <c r="N359" s="566">
        <v>1</v>
      </c>
      <c r="O359" s="567">
        <f>0.1*0.8</f>
        <v>8.0000000000000016E-2</v>
      </c>
      <c r="P359" s="574">
        <f>0.2*0.8</f>
        <v>0.16000000000000003</v>
      </c>
      <c r="Q359" s="574">
        <f t="shared" ref="Q359:R359" si="175">35%*0.8</f>
        <v>0.27999999999999997</v>
      </c>
      <c r="R359" s="574">
        <f t="shared" si="175"/>
        <v>0.27999999999999997</v>
      </c>
      <c r="S359" s="578">
        <v>48000000</v>
      </c>
      <c r="T359" s="584">
        <f t="shared" ref="T359:T365" si="176">+O359+P359+Q359+R359</f>
        <v>0.8</v>
      </c>
      <c r="U359" s="570">
        <v>21806161.96226415</v>
      </c>
      <c r="V359" s="570">
        <v>37046321.525885552</v>
      </c>
      <c r="W359" s="570">
        <v>69671044.776119396</v>
      </c>
      <c r="X359" s="570">
        <v>71761176.11940299</v>
      </c>
      <c r="Y359" s="571">
        <f t="shared" ref="Y359:Y365" si="177">+U359+V359+W359+X359</f>
        <v>200284704.38367209</v>
      </c>
      <c r="Z359" s="1204">
        <f>+SUM(Y359:Y362)</f>
        <v>641832070.67690182</v>
      </c>
      <c r="AA359" s="571"/>
      <c r="AB359" s="1202">
        <f>+SUM(AA359:AA362)</f>
        <v>0</v>
      </c>
      <c r="AC359" s="572">
        <f t="shared" ref="AC359:AC361" si="178">+AA359/Y359</f>
        <v>0</v>
      </c>
      <c r="AD359" s="573">
        <v>200284704.38367209</v>
      </c>
      <c r="AE359" s="1202">
        <f>+SUM(AD359:AD362)</f>
        <v>641832070.67690182</v>
      </c>
      <c r="AF359" s="572">
        <f t="shared" si="171"/>
        <v>1</v>
      </c>
      <c r="AG359" s="573"/>
      <c r="AH359" s="1204">
        <f>+SUM(AG359:AG362)</f>
        <v>0</v>
      </c>
      <c r="AI359" s="572">
        <f t="shared" ref="AI359:AI361" si="179">+AG359/Y359</f>
        <v>0</v>
      </c>
      <c r="AJ359" s="573"/>
      <c r="AK359" s="1204">
        <f>+SUM(AJ359:AJ362)</f>
        <v>0</v>
      </c>
      <c r="AL359" s="572">
        <f t="shared" ref="AL359:AL361" si="180">+AJ359/Y359</f>
        <v>0</v>
      </c>
      <c r="AM359" s="573"/>
      <c r="AN359" s="1204">
        <f>+SUM(AM359:AM362)</f>
        <v>0</v>
      </c>
      <c r="AO359" s="286">
        <f t="shared" ref="AO359:AO361" si="181">+AM359/Y359</f>
        <v>0</v>
      </c>
      <c r="AP359" s="1012">
        <f t="shared" si="158"/>
        <v>200284704.38367209</v>
      </c>
      <c r="AQ359" s="287" t="str">
        <f t="shared" ref="AQ359:AQ399" si="182">+IF(Y359=AP359,"Bien","Error")</f>
        <v>Bien</v>
      </c>
      <c r="AR359" s="1152" t="s">
        <v>1238</v>
      </c>
    </row>
    <row r="360" spans="1:44" s="288" customFormat="1" ht="52.5" customHeight="1" thickBot="1" x14ac:dyDescent="0.3">
      <c r="A360" s="1838"/>
      <c r="B360" s="1841"/>
      <c r="C360" s="2227"/>
      <c r="D360" s="2227"/>
      <c r="E360" s="1220"/>
      <c r="F360" s="1222"/>
      <c r="G360" s="1205"/>
      <c r="H360" s="1205"/>
      <c r="I360" s="1205"/>
      <c r="J360" s="1162" t="s">
        <v>504</v>
      </c>
      <c r="K360" s="580" t="s">
        <v>777</v>
      </c>
      <c r="L360" s="564" t="s">
        <v>203</v>
      </c>
      <c r="M360" s="574">
        <v>0</v>
      </c>
      <c r="N360" s="574">
        <v>1</v>
      </c>
      <c r="O360" s="567">
        <v>0.1</v>
      </c>
      <c r="P360" s="574">
        <v>0.2</v>
      </c>
      <c r="Q360" s="574">
        <v>0.35</v>
      </c>
      <c r="R360" s="574">
        <v>0.35</v>
      </c>
      <c r="S360" s="578">
        <v>48000000</v>
      </c>
      <c r="T360" s="584">
        <f t="shared" si="176"/>
        <v>1</v>
      </c>
      <c r="U360" s="570">
        <v>21806161.96226415</v>
      </c>
      <c r="V360" s="570">
        <v>37046321.525885552</v>
      </c>
      <c r="W360" s="570">
        <v>69671044.776119396</v>
      </c>
      <c r="X360" s="570">
        <v>71761176.11940299</v>
      </c>
      <c r="Y360" s="571">
        <f t="shared" si="177"/>
        <v>200284704.38367209</v>
      </c>
      <c r="Z360" s="1205"/>
      <c r="AA360" s="571"/>
      <c r="AB360" s="1203"/>
      <c r="AC360" s="572">
        <f t="shared" si="178"/>
        <v>0</v>
      </c>
      <c r="AD360" s="573">
        <v>200284704.38367209</v>
      </c>
      <c r="AE360" s="1203"/>
      <c r="AF360" s="572">
        <f t="shared" si="171"/>
        <v>1</v>
      </c>
      <c r="AG360" s="573"/>
      <c r="AH360" s="1205"/>
      <c r="AI360" s="572">
        <f t="shared" si="179"/>
        <v>0</v>
      </c>
      <c r="AJ360" s="573"/>
      <c r="AK360" s="1205"/>
      <c r="AL360" s="572">
        <f t="shared" si="180"/>
        <v>0</v>
      </c>
      <c r="AM360" s="573"/>
      <c r="AN360" s="1205"/>
      <c r="AO360" s="286">
        <f t="shared" si="181"/>
        <v>0</v>
      </c>
      <c r="AP360" s="1012">
        <f t="shared" si="158"/>
        <v>200284704.38367209</v>
      </c>
      <c r="AQ360" s="287" t="str">
        <f t="shared" si="182"/>
        <v>Bien</v>
      </c>
      <c r="AR360" s="1152" t="s">
        <v>1238</v>
      </c>
    </row>
    <row r="361" spans="1:44" s="288" customFormat="1" ht="15.75" customHeight="1" thickBot="1" x14ac:dyDescent="0.3">
      <c r="A361" s="1838"/>
      <c r="B361" s="1841"/>
      <c r="C361" s="2227"/>
      <c r="D361" s="2227"/>
      <c r="E361" s="1220"/>
      <c r="F361" s="1222"/>
      <c r="G361" s="1205"/>
      <c r="H361" s="1205"/>
      <c r="I361" s="1205"/>
      <c r="J361" s="1206" t="s">
        <v>505</v>
      </c>
      <c r="K361" s="563" t="s">
        <v>506</v>
      </c>
      <c r="L361" s="564" t="s">
        <v>698</v>
      </c>
      <c r="M361" s="564">
        <v>0</v>
      </c>
      <c r="N361" s="564">
        <v>1</v>
      </c>
      <c r="O361" s="577">
        <v>0.2</v>
      </c>
      <c r="P361" s="578">
        <v>0.8</v>
      </c>
      <c r="Q361" s="574"/>
      <c r="R361" s="574"/>
      <c r="S361" s="578">
        <v>48000000</v>
      </c>
      <c r="T361" s="584">
        <f t="shared" si="176"/>
        <v>1</v>
      </c>
      <c r="U361" s="570">
        <v>25737797.96226415</v>
      </c>
      <c r="V361" s="570">
        <v>37046321.525885552</v>
      </c>
      <c r="W361" s="570">
        <v>0</v>
      </c>
      <c r="X361" s="570">
        <v>0</v>
      </c>
      <c r="Y361" s="571">
        <f t="shared" si="177"/>
        <v>62784119.488149703</v>
      </c>
      <c r="Z361" s="1205"/>
      <c r="AA361" s="571"/>
      <c r="AB361" s="1203"/>
      <c r="AC361" s="572">
        <f t="shared" si="178"/>
        <v>0</v>
      </c>
      <c r="AD361" s="573">
        <v>62784119.488149703</v>
      </c>
      <c r="AE361" s="1203"/>
      <c r="AF361" s="572">
        <f t="shared" si="171"/>
        <v>1</v>
      </c>
      <c r="AG361" s="573"/>
      <c r="AH361" s="1205"/>
      <c r="AI361" s="572">
        <f t="shared" si="179"/>
        <v>0</v>
      </c>
      <c r="AJ361" s="573"/>
      <c r="AK361" s="1205"/>
      <c r="AL361" s="572">
        <f t="shared" si="180"/>
        <v>0</v>
      </c>
      <c r="AM361" s="573"/>
      <c r="AN361" s="1205"/>
      <c r="AO361" s="286">
        <f t="shared" si="181"/>
        <v>0</v>
      </c>
      <c r="AP361" s="1012">
        <f t="shared" si="158"/>
        <v>62784119.488149703</v>
      </c>
      <c r="AQ361" s="287" t="str">
        <f t="shared" si="182"/>
        <v>Bien</v>
      </c>
      <c r="AR361" s="1152" t="s">
        <v>1238</v>
      </c>
    </row>
    <row r="362" spans="1:44" s="288" customFormat="1" ht="30.75" customHeight="1" thickBot="1" x14ac:dyDescent="0.3">
      <c r="A362" s="1838"/>
      <c r="B362" s="1841"/>
      <c r="C362" s="2227"/>
      <c r="D362" s="2227"/>
      <c r="E362" s="1227"/>
      <c r="F362" s="1228"/>
      <c r="G362" s="1230"/>
      <c r="H362" s="1230"/>
      <c r="I362" s="1230"/>
      <c r="J362" s="1207"/>
      <c r="K362" s="563" t="s">
        <v>507</v>
      </c>
      <c r="L362" s="564" t="s">
        <v>39</v>
      </c>
      <c r="M362" s="566">
        <v>0</v>
      </c>
      <c r="N362" s="566">
        <v>1</v>
      </c>
      <c r="O362" s="567"/>
      <c r="P362" s="574">
        <v>0.2</v>
      </c>
      <c r="Q362" s="574">
        <v>0.4</v>
      </c>
      <c r="R362" s="574">
        <v>0.4</v>
      </c>
      <c r="S362" s="578">
        <v>48000000</v>
      </c>
      <c r="T362" s="584">
        <f t="shared" si="176"/>
        <v>1</v>
      </c>
      <c r="U362" s="570">
        <v>0</v>
      </c>
      <c r="V362" s="570">
        <v>37046321.525885552</v>
      </c>
      <c r="W362" s="570">
        <v>69671044.776119396</v>
      </c>
      <c r="X362" s="570">
        <v>71761176.11940299</v>
      </c>
      <c r="Y362" s="571">
        <f t="shared" si="177"/>
        <v>178478542.42140794</v>
      </c>
      <c r="Z362" s="1230"/>
      <c r="AA362" s="571"/>
      <c r="AB362" s="1274"/>
      <c r="AC362" s="572"/>
      <c r="AD362" s="573">
        <v>178478542.42140794</v>
      </c>
      <c r="AE362" s="1274"/>
      <c r="AF362" s="572"/>
      <c r="AG362" s="573"/>
      <c r="AH362" s="1230"/>
      <c r="AI362" s="572"/>
      <c r="AJ362" s="573"/>
      <c r="AK362" s="1230"/>
      <c r="AL362" s="572"/>
      <c r="AM362" s="573"/>
      <c r="AN362" s="1230"/>
      <c r="AO362" s="286"/>
      <c r="AP362" s="1012">
        <f t="shared" si="158"/>
        <v>178478542.42140794</v>
      </c>
      <c r="AQ362" s="287" t="str">
        <f t="shared" si="182"/>
        <v>Bien</v>
      </c>
      <c r="AR362" s="1152" t="s">
        <v>1238</v>
      </c>
    </row>
    <row r="363" spans="1:44" s="288" customFormat="1" ht="26.25" customHeight="1" thickBot="1" x14ac:dyDescent="0.3">
      <c r="A363" s="1838"/>
      <c r="B363" s="1841"/>
      <c r="C363" s="2227"/>
      <c r="D363" s="2227"/>
      <c r="E363" s="1219" t="s">
        <v>1270</v>
      </c>
      <c r="F363" s="1221" t="s">
        <v>779</v>
      </c>
      <c r="G363" s="1223" t="s">
        <v>67</v>
      </c>
      <c r="H363" s="1224">
        <v>0</v>
      </c>
      <c r="I363" s="1224">
        <v>1</v>
      </c>
      <c r="J363" s="1225" t="s">
        <v>781</v>
      </c>
      <c r="K363" s="563" t="s">
        <v>780</v>
      </c>
      <c r="L363" s="564" t="s">
        <v>39</v>
      </c>
      <c r="M363" s="566">
        <v>0</v>
      </c>
      <c r="N363" s="566">
        <v>0.3</v>
      </c>
      <c r="O363" s="577"/>
      <c r="P363" s="574">
        <v>0.3</v>
      </c>
      <c r="Q363" s="578"/>
      <c r="R363" s="578"/>
      <c r="S363" s="568">
        <v>48000000</v>
      </c>
      <c r="T363" s="584">
        <f t="shared" si="176"/>
        <v>0.3</v>
      </c>
      <c r="U363" s="570"/>
      <c r="V363" s="570">
        <v>84353152</v>
      </c>
      <c r="W363" s="570"/>
      <c r="X363" s="570"/>
      <c r="Y363" s="571">
        <f t="shared" si="177"/>
        <v>84353152</v>
      </c>
      <c r="Z363" s="1204">
        <f>+SUM(Y363:Y365)</f>
        <v>253059456</v>
      </c>
      <c r="AA363" s="571">
        <v>84353152</v>
      </c>
      <c r="AB363" s="1202">
        <f>+SUM(AA363:AA365)</f>
        <v>253059456</v>
      </c>
      <c r="AC363" s="572">
        <f t="shared" ref="AC363:AC365" si="183">+AA363/Y363</f>
        <v>1</v>
      </c>
      <c r="AD363" s="573"/>
      <c r="AE363" s="1202">
        <f>+SUM(AD363:AD365)</f>
        <v>0</v>
      </c>
      <c r="AF363" s="572">
        <f t="shared" ref="AF363:AF365" si="184">+AD363/Y363</f>
        <v>0</v>
      </c>
      <c r="AG363" s="573"/>
      <c r="AH363" s="1204">
        <f>+SUM(AG363:AG365)</f>
        <v>0</v>
      </c>
      <c r="AI363" s="572">
        <f t="shared" ref="AI363:AI365" si="185">+AG363/Y363</f>
        <v>0</v>
      </c>
      <c r="AJ363" s="573"/>
      <c r="AK363" s="1204">
        <f>+SUM(AJ363:AJ365)</f>
        <v>0</v>
      </c>
      <c r="AL363" s="572">
        <f t="shared" ref="AL363:AL365" si="186">+AJ363/Y363</f>
        <v>0</v>
      </c>
      <c r="AM363" s="573"/>
      <c r="AN363" s="1204">
        <f>+SUM(AM363:AM365)</f>
        <v>0</v>
      </c>
      <c r="AO363" s="286">
        <f t="shared" ref="AO363:AO365" si="187">+AM363/Y363</f>
        <v>0</v>
      </c>
      <c r="AP363" s="1012">
        <f t="shared" si="158"/>
        <v>84353152</v>
      </c>
      <c r="AQ363" s="287" t="str">
        <f t="shared" si="182"/>
        <v>Bien</v>
      </c>
      <c r="AR363" s="1152" t="s">
        <v>1238</v>
      </c>
    </row>
    <row r="364" spans="1:44" s="288" customFormat="1" ht="15.75" customHeight="1" x14ac:dyDescent="0.25">
      <c r="A364" s="1838"/>
      <c r="B364" s="1841"/>
      <c r="C364" s="2227"/>
      <c r="D364" s="2227"/>
      <c r="E364" s="1220"/>
      <c r="F364" s="1222"/>
      <c r="G364" s="1205"/>
      <c r="H364" s="1205"/>
      <c r="I364" s="1205"/>
      <c r="J364" s="1226"/>
      <c r="K364" s="563" t="s">
        <v>509</v>
      </c>
      <c r="L364" s="1143" t="s">
        <v>1166</v>
      </c>
      <c r="M364" s="564">
        <v>0</v>
      </c>
      <c r="N364" s="564">
        <v>1</v>
      </c>
      <c r="O364" s="577"/>
      <c r="P364" s="578"/>
      <c r="Q364" s="578"/>
      <c r="R364" s="578">
        <v>1</v>
      </c>
      <c r="S364" s="586">
        <v>48000000</v>
      </c>
      <c r="T364" s="587">
        <f t="shared" si="176"/>
        <v>1</v>
      </c>
      <c r="U364" s="570"/>
      <c r="V364" s="570"/>
      <c r="W364" s="570"/>
      <c r="X364" s="570">
        <v>84353152</v>
      </c>
      <c r="Y364" s="571">
        <f t="shared" si="177"/>
        <v>84353152</v>
      </c>
      <c r="Z364" s="1205"/>
      <c r="AA364" s="571">
        <v>84353152</v>
      </c>
      <c r="AB364" s="1203"/>
      <c r="AC364" s="572">
        <f t="shared" si="183"/>
        <v>1</v>
      </c>
      <c r="AD364" s="573"/>
      <c r="AE364" s="1203"/>
      <c r="AF364" s="572">
        <f t="shared" si="184"/>
        <v>0</v>
      </c>
      <c r="AG364" s="573"/>
      <c r="AH364" s="1205"/>
      <c r="AI364" s="572">
        <f t="shared" si="185"/>
        <v>0</v>
      </c>
      <c r="AJ364" s="573"/>
      <c r="AK364" s="1205"/>
      <c r="AL364" s="572">
        <f t="shared" si="186"/>
        <v>0</v>
      </c>
      <c r="AM364" s="573"/>
      <c r="AN364" s="1205"/>
      <c r="AO364" s="286">
        <f t="shared" si="187"/>
        <v>0</v>
      </c>
      <c r="AP364" s="1012">
        <f t="shared" si="158"/>
        <v>84353152</v>
      </c>
      <c r="AQ364" s="287" t="str">
        <f t="shared" si="182"/>
        <v>Bien</v>
      </c>
      <c r="AR364" s="1152" t="s">
        <v>1238</v>
      </c>
    </row>
    <row r="365" spans="1:44" s="288" customFormat="1" ht="36" customHeight="1" x14ac:dyDescent="0.25">
      <c r="A365" s="1839"/>
      <c r="B365" s="1841"/>
      <c r="C365" s="2227"/>
      <c r="D365" s="2227"/>
      <c r="E365" s="1220"/>
      <c r="F365" s="1222"/>
      <c r="G365" s="1205"/>
      <c r="H365" s="1205"/>
      <c r="I365" s="1205"/>
      <c r="J365" s="1226"/>
      <c r="K365" s="563" t="s">
        <v>510</v>
      </c>
      <c r="L365" s="564" t="s">
        <v>699</v>
      </c>
      <c r="M365" s="564">
        <v>0</v>
      </c>
      <c r="N365" s="564">
        <v>4</v>
      </c>
      <c r="O365" s="588"/>
      <c r="P365" s="589">
        <v>2</v>
      </c>
      <c r="Q365" s="589">
        <v>2</v>
      </c>
      <c r="R365" s="589"/>
      <c r="S365" s="590">
        <v>48000000</v>
      </c>
      <c r="T365" s="591">
        <f t="shared" si="176"/>
        <v>4</v>
      </c>
      <c r="U365" s="592"/>
      <c r="V365" s="592">
        <v>47316828</v>
      </c>
      <c r="W365" s="592">
        <v>37036324</v>
      </c>
      <c r="X365" s="592"/>
      <c r="Y365" s="593">
        <f t="shared" si="177"/>
        <v>84353152</v>
      </c>
      <c r="Z365" s="1205"/>
      <c r="AA365" s="593">
        <v>84353152</v>
      </c>
      <c r="AB365" s="1203"/>
      <c r="AC365" s="594">
        <f t="shared" si="183"/>
        <v>1</v>
      </c>
      <c r="AD365" s="595"/>
      <c r="AE365" s="1203"/>
      <c r="AF365" s="594">
        <f t="shared" si="184"/>
        <v>0</v>
      </c>
      <c r="AG365" s="595"/>
      <c r="AH365" s="1205"/>
      <c r="AI365" s="594">
        <f t="shared" si="185"/>
        <v>0</v>
      </c>
      <c r="AJ365" s="595"/>
      <c r="AK365" s="1205"/>
      <c r="AL365" s="594">
        <f t="shared" si="186"/>
        <v>0</v>
      </c>
      <c r="AM365" s="595"/>
      <c r="AN365" s="1205"/>
      <c r="AO365" s="289">
        <f t="shared" si="187"/>
        <v>0</v>
      </c>
      <c r="AP365" s="1012">
        <f t="shared" si="158"/>
        <v>84353152</v>
      </c>
      <c r="AQ365" s="287" t="str">
        <f t="shared" si="182"/>
        <v>Bien</v>
      </c>
      <c r="AR365" s="1152" t="s">
        <v>1238</v>
      </c>
    </row>
    <row r="366" spans="1:44" ht="63.75" x14ac:dyDescent="0.25">
      <c r="A366" s="1854" t="s">
        <v>939</v>
      </c>
      <c r="B366" s="2093" t="s">
        <v>511</v>
      </c>
      <c r="C366" s="2228">
        <v>4599</v>
      </c>
      <c r="D366" s="2228" t="s">
        <v>1098</v>
      </c>
      <c r="E366" s="2103" t="s">
        <v>512</v>
      </c>
      <c r="F366" s="1173" t="s">
        <v>513</v>
      </c>
      <c r="G366" s="1176" t="s">
        <v>572</v>
      </c>
      <c r="H366" s="1179" t="s">
        <v>514</v>
      </c>
      <c r="I366" s="1182">
        <v>0.9</v>
      </c>
      <c r="J366" s="1060" t="s">
        <v>515</v>
      </c>
      <c r="K366" s="1060" t="s">
        <v>700</v>
      </c>
      <c r="L366" s="1061" t="s">
        <v>516</v>
      </c>
      <c r="M366" s="1062">
        <v>0</v>
      </c>
      <c r="N366" s="1062">
        <v>1</v>
      </c>
      <c r="O366" s="1062">
        <v>0.15</v>
      </c>
      <c r="P366" s="1062">
        <v>0.5</v>
      </c>
      <c r="Q366" s="1062">
        <v>0.2</v>
      </c>
      <c r="R366" s="1062">
        <v>0.15</v>
      </c>
      <c r="S366" s="1061" t="s">
        <v>517</v>
      </c>
      <c r="T366" s="1063">
        <f t="shared" ref="T366:T371" si="188">SUM(N366:Q366)</f>
        <v>1.8499999999999999</v>
      </c>
      <c r="U366" s="1064">
        <v>70912478</v>
      </c>
      <c r="V366" s="1064">
        <v>236374926</v>
      </c>
      <c r="W366" s="1064">
        <v>94549970</v>
      </c>
      <c r="X366" s="1064">
        <v>70912478</v>
      </c>
      <c r="Y366" s="1015">
        <f t="shared" ref="Y366:Y395" si="189">SUM(U366:X366)</f>
        <v>472749852</v>
      </c>
      <c r="Z366" s="2105">
        <f>SUM(Y366:Y394)</f>
        <v>60994822692.78743</v>
      </c>
      <c r="AA366" s="1015">
        <v>312976960</v>
      </c>
      <c r="AB366" s="2210">
        <f>SUM(AA366:AA394)</f>
        <v>18565685561.360802</v>
      </c>
      <c r="AC366" s="1016">
        <f>AA366/Y366</f>
        <v>0.66203502481477239</v>
      </c>
      <c r="AD366" s="1017"/>
      <c r="AE366" s="2210">
        <f>SUM(AD366:AD394)</f>
        <v>1981441144</v>
      </c>
      <c r="AF366" s="1016">
        <f>AD366/Y366</f>
        <v>0</v>
      </c>
      <c r="AG366" s="1017"/>
      <c r="AH366" s="2105">
        <f>SUM(AG366:AG394)</f>
        <v>29970960694</v>
      </c>
      <c r="AI366" s="1016">
        <f>AG366/Y366</f>
        <v>0</v>
      </c>
      <c r="AJ366" s="1017"/>
      <c r="AK366" s="2105">
        <f>SUM(AJ366:AJ394)</f>
        <v>0</v>
      </c>
      <c r="AL366" s="1015"/>
      <c r="AM366" s="1018">
        <v>159772891</v>
      </c>
      <c r="AN366" s="2190">
        <f>SUM(AM366:AM394)</f>
        <v>10476735292.750187</v>
      </c>
      <c r="AP366" s="1012">
        <f t="shared" si="158"/>
        <v>472749851</v>
      </c>
      <c r="AQ366" s="287" t="str">
        <f t="shared" si="182"/>
        <v>Error</v>
      </c>
      <c r="AR366" s="1153" t="s">
        <v>1239</v>
      </c>
    </row>
    <row r="367" spans="1:44" ht="76.5" x14ac:dyDescent="0.25">
      <c r="A367" s="1855"/>
      <c r="B367" s="2094"/>
      <c r="C367" s="2228"/>
      <c r="D367" s="2228"/>
      <c r="E367" s="2104"/>
      <c r="F367" s="1174"/>
      <c r="G367" s="1177"/>
      <c r="H367" s="1180"/>
      <c r="I367" s="1183"/>
      <c r="J367" s="1060" t="s">
        <v>1078</v>
      </c>
      <c r="K367" s="1060" t="s">
        <v>701</v>
      </c>
      <c r="L367" s="1061" t="s">
        <v>516</v>
      </c>
      <c r="M367" s="1062">
        <v>0.57999999999999996</v>
      </c>
      <c r="N367" s="1062">
        <v>0.9</v>
      </c>
      <c r="O367" s="1062">
        <v>0.13</v>
      </c>
      <c r="P367" s="1062">
        <v>0.11</v>
      </c>
      <c r="Q367" s="1062">
        <v>0.08</v>
      </c>
      <c r="R367" s="1062">
        <v>0</v>
      </c>
      <c r="S367" s="1061" t="s">
        <v>518</v>
      </c>
      <c r="T367" s="1063">
        <f t="shared" si="188"/>
        <v>1.2200000000000002</v>
      </c>
      <c r="U367" s="1019">
        <v>20000000</v>
      </c>
      <c r="V367" s="1019">
        <f t="shared" ref="V367:X368" si="190">+U367*2%+U367</f>
        <v>20400000</v>
      </c>
      <c r="W367" s="1019">
        <f t="shared" si="190"/>
        <v>20808000</v>
      </c>
      <c r="X367" s="1019">
        <f t="shared" si="190"/>
        <v>21224160</v>
      </c>
      <c r="Y367" s="1015">
        <f t="shared" si="189"/>
        <v>82432160</v>
      </c>
      <c r="Z367" s="2106"/>
      <c r="AA367" s="1015">
        <v>82432160</v>
      </c>
      <c r="AB367" s="2091"/>
      <c r="AC367" s="1016">
        <f t="shared" ref="AC367:AC399" si="191">AA367/Y367</f>
        <v>1</v>
      </c>
      <c r="AD367" s="1017"/>
      <c r="AE367" s="2091"/>
      <c r="AF367" s="1016">
        <f t="shared" ref="AF367:AF399" si="192">AD367/Y367</f>
        <v>0</v>
      </c>
      <c r="AG367" s="1017"/>
      <c r="AH367" s="2106"/>
      <c r="AI367" s="1016">
        <f t="shared" ref="AI367:AI399" si="193">AG367/Y367</f>
        <v>0</v>
      </c>
      <c r="AJ367" s="1017"/>
      <c r="AK367" s="2106"/>
      <c r="AL367" s="1017"/>
      <c r="AM367" s="1017">
        <v>0</v>
      </c>
      <c r="AN367" s="2191"/>
      <c r="AP367" s="1012">
        <f t="shared" si="158"/>
        <v>82432160</v>
      </c>
      <c r="AQ367" s="287" t="str">
        <f t="shared" si="182"/>
        <v>Bien</v>
      </c>
      <c r="AR367" s="1153" t="s">
        <v>1240</v>
      </c>
    </row>
    <row r="368" spans="1:44" ht="51" x14ac:dyDescent="0.25">
      <c r="A368" s="1855"/>
      <c r="B368" s="2094"/>
      <c r="C368" s="2228"/>
      <c r="D368" s="2228"/>
      <c r="E368" s="2104"/>
      <c r="F368" s="1174"/>
      <c r="G368" s="1177"/>
      <c r="H368" s="1180"/>
      <c r="I368" s="1183"/>
      <c r="J368" s="1065" t="s">
        <v>519</v>
      </c>
      <c r="K368" s="1060" t="s">
        <v>702</v>
      </c>
      <c r="L368" s="1061" t="s">
        <v>516</v>
      </c>
      <c r="M368" s="1062">
        <v>0.4</v>
      </c>
      <c r="N368" s="1062">
        <v>1</v>
      </c>
      <c r="O368" s="1062">
        <v>0.1</v>
      </c>
      <c r="P368" s="1062">
        <v>0.4</v>
      </c>
      <c r="Q368" s="1062">
        <v>0.1</v>
      </c>
      <c r="R368" s="1062">
        <v>0</v>
      </c>
      <c r="S368" s="1061" t="s">
        <v>520</v>
      </c>
      <c r="T368" s="1063">
        <f t="shared" si="188"/>
        <v>1.6</v>
      </c>
      <c r="U368" s="1019">
        <v>20000000</v>
      </c>
      <c r="V368" s="1019">
        <f t="shared" si="190"/>
        <v>20400000</v>
      </c>
      <c r="W368" s="1019">
        <f t="shared" si="190"/>
        <v>20808000</v>
      </c>
      <c r="X368" s="1019">
        <f t="shared" si="190"/>
        <v>21224160</v>
      </c>
      <c r="Y368" s="1015">
        <f t="shared" si="189"/>
        <v>82432160</v>
      </c>
      <c r="Z368" s="2106"/>
      <c r="AA368" s="1015">
        <v>82432160</v>
      </c>
      <c r="AB368" s="2091"/>
      <c r="AC368" s="1016">
        <f t="shared" si="191"/>
        <v>1</v>
      </c>
      <c r="AD368" s="1017"/>
      <c r="AE368" s="2091"/>
      <c r="AF368" s="1016">
        <f t="shared" si="192"/>
        <v>0</v>
      </c>
      <c r="AG368" s="1017"/>
      <c r="AH368" s="2106"/>
      <c r="AI368" s="1016">
        <f t="shared" si="193"/>
        <v>0</v>
      </c>
      <c r="AJ368" s="1017"/>
      <c r="AK368" s="2106"/>
      <c r="AL368" s="1017"/>
      <c r="AM368" s="1017">
        <v>0</v>
      </c>
      <c r="AN368" s="2191"/>
      <c r="AP368" s="1012">
        <f t="shared" si="158"/>
        <v>82432160</v>
      </c>
      <c r="AQ368" s="287" t="str">
        <f t="shared" si="182"/>
        <v>Bien</v>
      </c>
      <c r="AR368" s="1153" t="s">
        <v>1240</v>
      </c>
    </row>
    <row r="369" spans="1:44" ht="51" x14ac:dyDescent="0.25">
      <c r="A369" s="1855"/>
      <c r="B369" s="2094"/>
      <c r="C369" s="2228"/>
      <c r="D369" s="2228"/>
      <c r="E369" s="2104"/>
      <c r="F369" s="1174"/>
      <c r="G369" s="1177"/>
      <c r="H369" s="1180"/>
      <c r="I369" s="1183"/>
      <c r="J369" s="1065" t="s">
        <v>521</v>
      </c>
      <c r="K369" s="1060" t="s">
        <v>522</v>
      </c>
      <c r="L369" s="1061" t="s">
        <v>516</v>
      </c>
      <c r="M369" s="1062">
        <v>0.4</v>
      </c>
      <c r="N369" s="1062">
        <v>1</v>
      </c>
      <c r="O369" s="1062">
        <v>0.05</v>
      </c>
      <c r="P369" s="1062">
        <v>0.25</v>
      </c>
      <c r="Q369" s="1062">
        <v>0.25</v>
      </c>
      <c r="R369" s="1062">
        <v>0.05</v>
      </c>
      <c r="S369" s="1061" t="s">
        <v>523</v>
      </c>
      <c r="T369" s="1063">
        <f t="shared" si="188"/>
        <v>1.55</v>
      </c>
      <c r="U369" s="1064">
        <v>20000000</v>
      </c>
      <c r="V369" s="1064">
        <v>400000000</v>
      </c>
      <c r="W369" s="1064">
        <f>V369*1.03</f>
        <v>412000000</v>
      </c>
      <c r="X369" s="1064">
        <f>W369*1.03</f>
        <v>424360000</v>
      </c>
      <c r="Y369" s="1015">
        <f t="shared" si="189"/>
        <v>1256360000</v>
      </c>
      <c r="Z369" s="2106"/>
      <c r="AA369" s="1015">
        <v>20000000</v>
      </c>
      <c r="AB369" s="2091"/>
      <c r="AC369" s="1016">
        <f t="shared" si="191"/>
        <v>1.591900410710306E-2</v>
      </c>
      <c r="AD369" s="1017"/>
      <c r="AE369" s="2091"/>
      <c r="AF369" s="1016">
        <f t="shared" si="192"/>
        <v>0</v>
      </c>
      <c r="AG369" s="1017"/>
      <c r="AH369" s="2106"/>
      <c r="AI369" s="1016">
        <f t="shared" si="193"/>
        <v>0</v>
      </c>
      <c r="AJ369" s="1017"/>
      <c r="AK369" s="2106"/>
      <c r="AL369" s="1017"/>
      <c r="AM369" s="1017">
        <v>1236360000</v>
      </c>
      <c r="AN369" s="2191"/>
      <c r="AP369" s="1012">
        <f t="shared" si="158"/>
        <v>1256360000</v>
      </c>
      <c r="AQ369" s="287" t="str">
        <f t="shared" si="182"/>
        <v>Bien</v>
      </c>
      <c r="AR369" s="1153" t="s">
        <v>1240</v>
      </c>
    </row>
    <row r="370" spans="1:44" ht="76.5" x14ac:dyDescent="0.25">
      <c r="A370" s="1855"/>
      <c r="B370" s="2094"/>
      <c r="C370" s="2228"/>
      <c r="D370" s="2228"/>
      <c r="E370" s="2104"/>
      <c r="F370" s="1174"/>
      <c r="G370" s="1177"/>
      <c r="H370" s="1180"/>
      <c r="I370" s="1183"/>
      <c r="J370" s="1065" t="s">
        <v>940</v>
      </c>
      <c r="K370" s="1060" t="s">
        <v>524</v>
      </c>
      <c r="L370" s="1061" t="s">
        <v>516</v>
      </c>
      <c r="M370" s="1062">
        <v>0.5</v>
      </c>
      <c r="N370" s="1062">
        <v>0.9</v>
      </c>
      <c r="O370" s="1062">
        <v>0.05</v>
      </c>
      <c r="P370" s="1062">
        <v>0.15</v>
      </c>
      <c r="Q370" s="1062">
        <v>0.15</v>
      </c>
      <c r="R370" s="1062">
        <v>0.05</v>
      </c>
      <c r="S370" s="1061" t="s">
        <v>520</v>
      </c>
      <c r="T370" s="1063">
        <f t="shared" si="188"/>
        <v>1.25</v>
      </c>
      <c r="U370" s="1019">
        <v>20000000</v>
      </c>
      <c r="V370" s="1019">
        <f t="shared" ref="V370:X371" si="194">+U370*2%+U370</f>
        <v>20400000</v>
      </c>
      <c r="W370" s="1019">
        <f t="shared" si="194"/>
        <v>20808000</v>
      </c>
      <c r="X370" s="1019">
        <f t="shared" si="194"/>
        <v>21224160</v>
      </c>
      <c r="Y370" s="1015">
        <f t="shared" si="189"/>
        <v>82432160</v>
      </c>
      <c r="Z370" s="2106"/>
      <c r="AA370" s="1015">
        <v>62432160</v>
      </c>
      <c r="AB370" s="2091"/>
      <c r="AC370" s="1016">
        <f t="shared" si="191"/>
        <v>0.75737624732871245</v>
      </c>
      <c r="AD370" s="1017"/>
      <c r="AE370" s="2091"/>
      <c r="AF370" s="1016">
        <f t="shared" si="192"/>
        <v>0</v>
      </c>
      <c r="AG370" s="1017"/>
      <c r="AH370" s="2106"/>
      <c r="AI370" s="1016">
        <f t="shared" si="193"/>
        <v>0</v>
      </c>
      <c r="AJ370" s="1017"/>
      <c r="AK370" s="2106"/>
      <c r="AL370" s="1017"/>
      <c r="AM370" s="1017">
        <v>20000000</v>
      </c>
      <c r="AN370" s="2191"/>
      <c r="AP370" s="1012">
        <f t="shared" si="158"/>
        <v>82432160</v>
      </c>
      <c r="AQ370" s="287" t="str">
        <f t="shared" si="182"/>
        <v>Bien</v>
      </c>
      <c r="AR370" s="1153" t="s">
        <v>1241</v>
      </c>
    </row>
    <row r="371" spans="1:44" ht="51" x14ac:dyDescent="0.25">
      <c r="A371" s="1855"/>
      <c r="B371" s="2094"/>
      <c r="C371" s="2228"/>
      <c r="D371" s="2228"/>
      <c r="E371" s="2104"/>
      <c r="F371" s="1174"/>
      <c r="G371" s="1177"/>
      <c r="H371" s="1180"/>
      <c r="I371" s="1183"/>
      <c r="J371" s="1065" t="s">
        <v>525</v>
      </c>
      <c r="K371" s="1060" t="s">
        <v>1167</v>
      </c>
      <c r="L371" s="1061" t="s">
        <v>516</v>
      </c>
      <c r="M371" s="1062">
        <v>0</v>
      </c>
      <c r="N371" s="1062">
        <v>1</v>
      </c>
      <c r="O371" s="1066">
        <v>0.2</v>
      </c>
      <c r="P371" s="1066">
        <v>0.5</v>
      </c>
      <c r="Q371" s="1066">
        <v>0.2</v>
      </c>
      <c r="R371" s="1062">
        <v>0.1</v>
      </c>
      <c r="S371" s="1061" t="s">
        <v>526</v>
      </c>
      <c r="T371" s="1063">
        <f t="shared" si="188"/>
        <v>1.9</v>
      </c>
      <c r="U371" s="1019">
        <v>200000000</v>
      </c>
      <c r="V371" s="1019">
        <f t="shared" si="194"/>
        <v>204000000</v>
      </c>
      <c r="W371" s="1019">
        <f t="shared" si="194"/>
        <v>208080000</v>
      </c>
      <c r="X371" s="1019">
        <f t="shared" si="194"/>
        <v>212241600</v>
      </c>
      <c r="Y371" s="1015">
        <f t="shared" si="189"/>
        <v>824321600</v>
      </c>
      <c r="Z371" s="2106"/>
      <c r="AA371" s="1015">
        <v>800000000</v>
      </c>
      <c r="AB371" s="2091"/>
      <c r="AC371" s="1016">
        <f t="shared" si="191"/>
        <v>0.97049501068515009</v>
      </c>
      <c r="AD371" s="1017"/>
      <c r="AE371" s="2091"/>
      <c r="AF371" s="1016">
        <f t="shared" si="192"/>
        <v>0</v>
      </c>
      <c r="AG371" s="1017"/>
      <c r="AH371" s="2106"/>
      <c r="AI371" s="1016">
        <f t="shared" si="193"/>
        <v>0</v>
      </c>
      <c r="AJ371" s="1017"/>
      <c r="AK371" s="2106"/>
      <c r="AL371" s="1017"/>
      <c r="AM371" s="1017">
        <v>24321600</v>
      </c>
      <c r="AN371" s="2191"/>
      <c r="AP371" s="1012">
        <f t="shared" si="158"/>
        <v>824321600</v>
      </c>
      <c r="AQ371" s="287" t="str">
        <f t="shared" si="182"/>
        <v>Bien</v>
      </c>
      <c r="AR371" s="1153" t="s">
        <v>1239</v>
      </c>
    </row>
    <row r="372" spans="1:44" ht="30" x14ac:dyDescent="0.25">
      <c r="A372" s="1855"/>
      <c r="B372" s="2094"/>
      <c r="C372" s="2228"/>
      <c r="D372" s="2228"/>
      <c r="E372" s="2104"/>
      <c r="F372" s="1174"/>
      <c r="G372" s="1177"/>
      <c r="H372" s="1180"/>
      <c r="I372" s="1183"/>
      <c r="J372" s="2107" t="s">
        <v>1168</v>
      </c>
      <c r="K372" s="1067" t="s">
        <v>941</v>
      </c>
      <c r="L372" s="1068" t="s">
        <v>942</v>
      </c>
      <c r="M372" s="1062">
        <v>0</v>
      </c>
      <c r="N372" s="1062">
        <v>1</v>
      </c>
      <c r="O372" s="1066">
        <v>0.9</v>
      </c>
      <c r="P372" s="1066">
        <v>0.1</v>
      </c>
      <c r="Q372" s="1066">
        <v>0</v>
      </c>
      <c r="R372" s="1062">
        <v>0</v>
      </c>
      <c r="S372" s="1017"/>
      <c r="T372" s="1017"/>
      <c r="U372" s="1019">
        <v>9000000</v>
      </c>
      <c r="V372" s="1019">
        <v>1000000</v>
      </c>
      <c r="W372" s="1019">
        <v>0</v>
      </c>
      <c r="X372" s="1019">
        <v>0</v>
      </c>
      <c r="Y372" s="1015">
        <f t="shared" si="189"/>
        <v>10000000</v>
      </c>
      <c r="Z372" s="2106"/>
      <c r="AA372" s="1015"/>
      <c r="AB372" s="2091"/>
      <c r="AC372" s="1016">
        <f t="shared" si="191"/>
        <v>0</v>
      </c>
      <c r="AD372" s="1017"/>
      <c r="AE372" s="2091"/>
      <c r="AF372" s="1016">
        <f t="shared" si="192"/>
        <v>0</v>
      </c>
      <c r="AG372" s="1017"/>
      <c r="AH372" s="2106"/>
      <c r="AI372" s="1016">
        <f t="shared" si="193"/>
        <v>0</v>
      </c>
      <c r="AJ372" s="1017"/>
      <c r="AK372" s="2106"/>
      <c r="AL372" s="1017"/>
      <c r="AM372" s="1017">
        <v>10000000</v>
      </c>
      <c r="AN372" s="2191"/>
      <c r="AP372" s="1012">
        <f t="shared" si="158"/>
        <v>10000000</v>
      </c>
      <c r="AQ372" s="287" t="str">
        <f t="shared" si="182"/>
        <v>Bien</v>
      </c>
      <c r="AR372" s="1153" t="s">
        <v>1242</v>
      </c>
    </row>
    <row r="373" spans="1:44" ht="30" x14ac:dyDescent="0.25">
      <c r="A373" s="1855"/>
      <c r="B373" s="2094"/>
      <c r="C373" s="2228"/>
      <c r="D373" s="2228"/>
      <c r="E373" s="2104"/>
      <c r="F373" s="1174"/>
      <c r="G373" s="1177"/>
      <c r="H373" s="1180"/>
      <c r="I373" s="1183"/>
      <c r="J373" s="2108"/>
      <c r="K373" s="1067" t="s">
        <v>943</v>
      </c>
      <c r="L373" s="1068" t="s">
        <v>942</v>
      </c>
      <c r="M373" s="1062">
        <v>0</v>
      </c>
      <c r="N373" s="1062">
        <v>1</v>
      </c>
      <c r="O373" s="1066">
        <v>1</v>
      </c>
      <c r="P373" s="1066">
        <v>0</v>
      </c>
      <c r="Q373" s="1066">
        <v>0</v>
      </c>
      <c r="R373" s="1062">
        <v>0</v>
      </c>
      <c r="S373" s="1017"/>
      <c r="T373" s="1017"/>
      <c r="U373" s="1019">
        <v>20000000</v>
      </c>
      <c r="V373" s="1019">
        <v>5000000</v>
      </c>
      <c r="W373" s="1019">
        <v>5000000</v>
      </c>
      <c r="X373" s="1019">
        <v>0</v>
      </c>
      <c r="Y373" s="1015">
        <f t="shared" si="189"/>
        <v>30000000</v>
      </c>
      <c r="Z373" s="2106"/>
      <c r="AA373" s="1015"/>
      <c r="AB373" s="2091"/>
      <c r="AC373" s="1016">
        <f t="shared" si="191"/>
        <v>0</v>
      </c>
      <c r="AD373" s="1017"/>
      <c r="AE373" s="2091"/>
      <c r="AF373" s="1016">
        <f t="shared" si="192"/>
        <v>0</v>
      </c>
      <c r="AG373" s="1017"/>
      <c r="AH373" s="2106"/>
      <c r="AI373" s="1016">
        <f t="shared" si="193"/>
        <v>0</v>
      </c>
      <c r="AJ373" s="1017"/>
      <c r="AK373" s="2106"/>
      <c r="AL373" s="1017"/>
      <c r="AM373" s="1017">
        <v>30000000</v>
      </c>
      <c r="AN373" s="2191"/>
      <c r="AP373" s="1012">
        <f t="shared" si="158"/>
        <v>30000000</v>
      </c>
      <c r="AQ373" s="287" t="str">
        <f t="shared" si="182"/>
        <v>Bien</v>
      </c>
      <c r="AR373" s="1153" t="s">
        <v>1242</v>
      </c>
    </row>
    <row r="374" spans="1:44" ht="30" x14ac:dyDescent="0.25">
      <c r="A374" s="1855"/>
      <c r="B374" s="2094"/>
      <c r="C374" s="2228"/>
      <c r="D374" s="2228"/>
      <c r="E374" s="2104"/>
      <c r="F374" s="1175"/>
      <c r="G374" s="1178"/>
      <c r="H374" s="1181"/>
      <c r="I374" s="1184"/>
      <c r="J374" s="2107"/>
      <c r="K374" s="1067" t="s">
        <v>944</v>
      </c>
      <c r="L374" s="1068" t="s">
        <v>713</v>
      </c>
      <c r="M374" s="1062">
        <v>0</v>
      </c>
      <c r="N374" s="1062">
        <v>1</v>
      </c>
      <c r="O374" s="1066">
        <v>0.5</v>
      </c>
      <c r="P374" s="1066">
        <v>0.5</v>
      </c>
      <c r="Q374" s="1066">
        <v>0</v>
      </c>
      <c r="R374" s="1062">
        <v>0</v>
      </c>
      <c r="S374" s="1017"/>
      <c r="T374" s="1017"/>
      <c r="U374" s="1019">
        <v>30000000</v>
      </c>
      <c r="V374" s="1019">
        <v>30000000</v>
      </c>
      <c r="W374" s="1019">
        <v>0</v>
      </c>
      <c r="X374" s="1019">
        <v>0</v>
      </c>
      <c r="Y374" s="1015">
        <f t="shared" si="189"/>
        <v>60000000</v>
      </c>
      <c r="Z374" s="2106"/>
      <c r="AA374" s="1015"/>
      <c r="AB374" s="2091"/>
      <c r="AC374" s="1016">
        <f t="shared" si="191"/>
        <v>0</v>
      </c>
      <c r="AD374" s="1017"/>
      <c r="AE374" s="2091"/>
      <c r="AF374" s="1016">
        <f t="shared" si="192"/>
        <v>0</v>
      </c>
      <c r="AG374" s="1017"/>
      <c r="AH374" s="2106"/>
      <c r="AI374" s="1016">
        <f t="shared" si="193"/>
        <v>0</v>
      </c>
      <c r="AJ374" s="1017"/>
      <c r="AK374" s="2106"/>
      <c r="AL374" s="1017"/>
      <c r="AM374" s="1017">
        <v>60000000</v>
      </c>
      <c r="AN374" s="2191"/>
      <c r="AP374" s="1012">
        <f t="shared" si="158"/>
        <v>60000000</v>
      </c>
      <c r="AQ374" s="287" t="str">
        <f t="shared" si="182"/>
        <v>Bien</v>
      </c>
      <c r="AR374" s="1153" t="s">
        <v>1242</v>
      </c>
    </row>
    <row r="375" spans="1:44" ht="25.5" customHeight="1" x14ac:dyDescent="0.25">
      <c r="A375" s="1855"/>
      <c r="B375" s="2094"/>
      <c r="C375" s="2228"/>
      <c r="D375" s="2228"/>
      <c r="E375" s="2104"/>
      <c r="F375" s="1173" t="s">
        <v>529</v>
      </c>
      <c r="G375" s="1176" t="s">
        <v>947</v>
      </c>
      <c r="H375" s="1179">
        <v>1015</v>
      </c>
      <c r="I375" s="1179">
        <v>1045</v>
      </c>
      <c r="J375" s="2097" t="s">
        <v>530</v>
      </c>
      <c r="K375" s="1060" t="s">
        <v>703</v>
      </c>
      <c r="L375" s="1061" t="s">
        <v>945</v>
      </c>
      <c r="M375" s="1069">
        <v>0</v>
      </c>
      <c r="N375" s="1070">
        <v>0.3</v>
      </c>
      <c r="O375" s="1069">
        <v>0</v>
      </c>
      <c r="P375" s="1070">
        <v>0.1</v>
      </c>
      <c r="Q375" s="1070">
        <v>0.1</v>
      </c>
      <c r="R375" s="1070">
        <v>0.1</v>
      </c>
      <c r="S375" s="1017"/>
      <c r="T375" s="1017"/>
      <c r="U375" s="1019">
        <v>100000000</v>
      </c>
      <c r="V375" s="1019">
        <f t="shared" ref="V375:X378" si="195">+U375*2%+U375</f>
        <v>102000000</v>
      </c>
      <c r="W375" s="1019">
        <f t="shared" si="195"/>
        <v>104040000</v>
      </c>
      <c r="X375" s="1019">
        <f t="shared" si="195"/>
        <v>106120800</v>
      </c>
      <c r="Y375" s="1015">
        <f t="shared" si="189"/>
        <v>412160800</v>
      </c>
      <c r="Z375" s="2106"/>
      <c r="AA375" s="1015">
        <v>0</v>
      </c>
      <c r="AB375" s="2091"/>
      <c r="AC375" s="1016">
        <f t="shared" si="191"/>
        <v>0</v>
      </c>
      <c r="AD375" s="1017"/>
      <c r="AE375" s="2091"/>
      <c r="AF375" s="1016">
        <f t="shared" si="192"/>
        <v>0</v>
      </c>
      <c r="AG375" s="1017"/>
      <c r="AH375" s="2106"/>
      <c r="AI375" s="1016">
        <f t="shared" si="193"/>
        <v>0</v>
      </c>
      <c r="AJ375" s="1017"/>
      <c r="AK375" s="2106"/>
      <c r="AL375" s="1017"/>
      <c r="AM375" s="1017">
        <v>412160800</v>
      </c>
      <c r="AN375" s="2191"/>
      <c r="AP375" s="1012">
        <f t="shared" si="158"/>
        <v>412160800</v>
      </c>
      <c r="AQ375" s="287" t="str">
        <f t="shared" si="182"/>
        <v>Bien</v>
      </c>
      <c r="AR375" s="1158" t="s">
        <v>1239</v>
      </c>
    </row>
    <row r="376" spans="1:44" ht="25.5" x14ac:dyDescent="0.25">
      <c r="A376" s="1855"/>
      <c r="B376" s="2094"/>
      <c r="C376" s="2228"/>
      <c r="D376" s="2228"/>
      <c r="E376" s="2104"/>
      <c r="F376" s="1174"/>
      <c r="G376" s="1177"/>
      <c r="H376" s="1180"/>
      <c r="I376" s="1180"/>
      <c r="J376" s="2097"/>
      <c r="K376" s="1060" t="s">
        <v>531</v>
      </c>
      <c r="L376" s="1061" t="s">
        <v>946</v>
      </c>
      <c r="M376" s="1069">
        <v>0</v>
      </c>
      <c r="N376" s="1066">
        <v>1</v>
      </c>
      <c r="O376" s="1070">
        <v>1</v>
      </c>
      <c r="P376" s="1070">
        <v>1</v>
      </c>
      <c r="Q376" s="1070">
        <v>1</v>
      </c>
      <c r="R376" s="1070">
        <v>1</v>
      </c>
      <c r="S376" s="1017"/>
      <c r="T376" s="1017"/>
      <c r="U376" s="1019">
        <v>100000000</v>
      </c>
      <c r="V376" s="1019">
        <f t="shared" si="195"/>
        <v>102000000</v>
      </c>
      <c r="W376" s="1019">
        <f t="shared" si="195"/>
        <v>104040000</v>
      </c>
      <c r="X376" s="1019">
        <f t="shared" si="195"/>
        <v>106120800</v>
      </c>
      <c r="Y376" s="1015">
        <f t="shared" si="189"/>
        <v>412160800</v>
      </c>
      <c r="Z376" s="2106"/>
      <c r="AA376" s="1015">
        <v>400000000</v>
      </c>
      <c r="AB376" s="2091"/>
      <c r="AC376" s="1016">
        <f t="shared" si="191"/>
        <v>0.97049501068515009</v>
      </c>
      <c r="AD376" s="1017"/>
      <c r="AE376" s="2091"/>
      <c r="AF376" s="1016">
        <f t="shared" si="192"/>
        <v>0</v>
      </c>
      <c r="AG376" s="1017"/>
      <c r="AH376" s="2106"/>
      <c r="AI376" s="1016">
        <f t="shared" si="193"/>
        <v>0</v>
      </c>
      <c r="AJ376" s="1017"/>
      <c r="AK376" s="2106"/>
      <c r="AL376" s="1017"/>
      <c r="AM376" s="1017">
        <v>12160800</v>
      </c>
      <c r="AN376" s="2191"/>
      <c r="AP376" s="1012">
        <f t="shared" si="158"/>
        <v>412160800</v>
      </c>
      <c r="AQ376" s="287" t="str">
        <f t="shared" si="182"/>
        <v>Bien</v>
      </c>
      <c r="AR376" s="1153" t="s">
        <v>1239</v>
      </c>
    </row>
    <row r="377" spans="1:44" ht="30" x14ac:dyDescent="0.25">
      <c r="A377" s="1855"/>
      <c r="B377" s="2094"/>
      <c r="C377" s="2228"/>
      <c r="D377" s="2228"/>
      <c r="E377" s="2104"/>
      <c r="F377" s="1174"/>
      <c r="G377" s="1177"/>
      <c r="H377" s="1180"/>
      <c r="I377" s="1180"/>
      <c r="J377" s="2097"/>
      <c r="K377" s="1060" t="s">
        <v>704</v>
      </c>
      <c r="L377" s="1061" t="s">
        <v>705</v>
      </c>
      <c r="M377" s="1071">
        <v>1067</v>
      </c>
      <c r="N377" s="1073">
        <f>M377*1.1</f>
        <v>1173.7</v>
      </c>
      <c r="O377" s="1069">
        <f>1067+18</f>
        <v>1085</v>
      </c>
      <c r="P377" s="1069">
        <f>O377+23</f>
        <v>1108</v>
      </c>
      <c r="Q377" s="1069">
        <f>P377+28</f>
        <v>1136</v>
      </c>
      <c r="R377" s="1069">
        <f>Q377+38</f>
        <v>1174</v>
      </c>
      <c r="S377" s="1017"/>
      <c r="T377" s="1017"/>
      <c r="U377" s="1019">
        <v>34800000</v>
      </c>
      <c r="V377" s="1019">
        <f t="shared" si="195"/>
        <v>35496000</v>
      </c>
      <c r="W377" s="1019">
        <f t="shared" si="195"/>
        <v>36205920</v>
      </c>
      <c r="X377" s="1019">
        <f t="shared" si="195"/>
        <v>36930038.399999999</v>
      </c>
      <c r="Y377" s="1015">
        <f t="shared" si="189"/>
        <v>143431958.40000001</v>
      </c>
      <c r="Z377" s="2106"/>
      <c r="AA377" s="1015">
        <v>139200000</v>
      </c>
      <c r="AB377" s="2091"/>
      <c r="AC377" s="1016">
        <f t="shared" si="191"/>
        <v>0.97049501068514998</v>
      </c>
      <c r="AD377" s="1017"/>
      <c r="AE377" s="2091"/>
      <c r="AF377" s="1016">
        <f t="shared" si="192"/>
        <v>0</v>
      </c>
      <c r="AG377" s="1017"/>
      <c r="AH377" s="2106"/>
      <c r="AI377" s="1016">
        <f t="shared" si="193"/>
        <v>0</v>
      </c>
      <c r="AJ377" s="1017"/>
      <c r="AK377" s="2106"/>
      <c r="AL377" s="1017"/>
      <c r="AM377" s="1017">
        <v>4231958.400000006</v>
      </c>
      <c r="AN377" s="2191"/>
      <c r="AP377" s="1012">
        <f t="shared" si="158"/>
        <v>143431958.40000001</v>
      </c>
      <c r="AQ377" s="287" t="str">
        <f t="shared" si="182"/>
        <v>Bien</v>
      </c>
      <c r="AR377" s="1153" t="s">
        <v>1240</v>
      </c>
    </row>
    <row r="378" spans="1:44" ht="51" x14ac:dyDescent="0.25">
      <c r="A378" s="1855"/>
      <c r="B378" s="2094"/>
      <c r="C378" s="2228"/>
      <c r="D378" s="2228"/>
      <c r="E378" s="2104"/>
      <c r="F378" s="1174"/>
      <c r="G378" s="1177"/>
      <c r="H378" s="1180"/>
      <c r="I378" s="1180"/>
      <c r="J378" s="2097"/>
      <c r="K378" s="1060" t="s">
        <v>532</v>
      </c>
      <c r="L378" s="1061" t="s">
        <v>706</v>
      </c>
      <c r="M378" s="1072">
        <v>1015</v>
      </c>
      <c r="N378" s="1073">
        <f>M378*1.1</f>
        <v>1116.5</v>
      </c>
      <c r="O378" s="1069">
        <f>1015+18</f>
        <v>1033</v>
      </c>
      <c r="P378" s="1069">
        <f>O378+21</f>
        <v>1054</v>
      </c>
      <c r="Q378" s="1069">
        <f>P378+26</f>
        <v>1080</v>
      </c>
      <c r="R378" s="1069">
        <f>Q378+37</f>
        <v>1117</v>
      </c>
      <c r="S378" s="1017"/>
      <c r="T378" s="1017"/>
      <c r="U378" s="1019">
        <v>323400100</v>
      </c>
      <c r="V378" s="1019">
        <f t="shared" si="195"/>
        <v>329868102</v>
      </c>
      <c r="W378" s="1019">
        <f t="shared" si="195"/>
        <v>336465464.04000002</v>
      </c>
      <c r="X378" s="1019">
        <f t="shared" si="195"/>
        <v>343194773.32080001</v>
      </c>
      <c r="Y378" s="1015">
        <f t="shared" si="189"/>
        <v>1332928439.3608</v>
      </c>
      <c r="Z378" s="2106"/>
      <c r="AA378" s="1015">
        <v>1332928439.3608</v>
      </c>
      <c r="AB378" s="2091"/>
      <c r="AC378" s="1016">
        <f t="shared" si="191"/>
        <v>1</v>
      </c>
      <c r="AD378" s="1017"/>
      <c r="AE378" s="2091"/>
      <c r="AF378" s="1016">
        <f t="shared" si="192"/>
        <v>0</v>
      </c>
      <c r="AG378" s="1017"/>
      <c r="AH378" s="2106"/>
      <c r="AI378" s="1016">
        <f t="shared" si="193"/>
        <v>0</v>
      </c>
      <c r="AJ378" s="1017"/>
      <c r="AK378" s="2106"/>
      <c r="AL378" s="1017"/>
      <c r="AM378" s="1017">
        <v>0</v>
      </c>
      <c r="AN378" s="2191"/>
      <c r="AP378" s="1012">
        <f t="shared" si="158"/>
        <v>1332928439.3608</v>
      </c>
      <c r="AQ378" s="287" t="str">
        <f t="shared" si="182"/>
        <v>Bien</v>
      </c>
      <c r="AR378" s="1153" t="s">
        <v>1240</v>
      </c>
    </row>
    <row r="379" spans="1:44" ht="63.75" x14ac:dyDescent="0.25">
      <c r="A379" s="1855"/>
      <c r="B379" s="2094"/>
      <c r="C379" s="2228"/>
      <c r="D379" s="2228"/>
      <c r="E379" s="2104"/>
      <c r="F379" s="1175"/>
      <c r="G379" s="1178"/>
      <c r="H379" s="1181"/>
      <c r="I379" s="1181"/>
      <c r="J379" s="1065" t="s">
        <v>533</v>
      </c>
      <c r="K379" s="1060" t="s">
        <v>534</v>
      </c>
      <c r="L379" s="1061" t="s">
        <v>707</v>
      </c>
      <c r="M379" s="1072">
        <v>0</v>
      </c>
      <c r="N379" s="1072">
        <v>5</v>
      </c>
      <c r="O379" s="1069">
        <v>5</v>
      </c>
      <c r="P379" s="1069">
        <v>5</v>
      </c>
      <c r="Q379" s="1069">
        <v>5</v>
      </c>
      <c r="R379" s="1069">
        <v>5</v>
      </c>
      <c r="S379" s="1017"/>
      <c r="T379" s="1017"/>
      <c r="U379" s="1019">
        <v>820298822</v>
      </c>
      <c r="V379" s="1019">
        <v>836704526.10000002</v>
      </c>
      <c r="W379" s="1019">
        <v>853438616.62199998</v>
      </c>
      <c r="X379" s="1019">
        <v>870507388.95444</v>
      </c>
      <c r="Y379" s="1015">
        <f t="shared" si="189"/>
        <v>3380949353.6764402</v>
      </c>
      <c r="Z379" s="2106"/>
      <c r="AA379" s="1019">
        <v>1688043040</v>
      </c>
      <c r="AB379" s="2091"/>
      <c r="AC379" s="1016">
        <f t="shared" si="191"/>
        <v>0.49928078282640465</v>
      </c>
      <c r="AD379" s="1017">
        <v>1265179071</v>
      </c>
      <c r="AE379" s="2091"/>
      <c r="AF379" s="1016">
        <f t="shared" si="192"/>
        <v>0.37420822930229519</v>
      </c>
      <c r="AG379" s="1017"/>
      <c r="AH379" s="2106"/>
      <c r="AI379" s="1016">
        <f t="shared" si="193"/>
        <v>0</v>
      </c>
      <c r="AJ379" s="1017"/>
      <c r="AK379" s="2106"/>
      <c r="AL379" s="1017"/>
      <c r="AM379" s="1017">
        <v>427727243</v>
      </c>
      <c r="AN379" s="2191"/>
      <c r="AP379" s="1012">
        <f t="shared" si="158"/>
        <v>3380949354</v>
      </c>
      <c r="AQ379" s="287" t="str">
        <f t="shared" si="182"/>
        <v>Error</v>
      </c>
      <c r="AR379" s="1153" t="s">
        <v>1240</v>
      </c>
    </row>
    <row r="380" spans="1:44" ht="156" customHeight="1" x14ac:dyDescent="0.25">
      <c r="A380" s="1855"/>
      <c r="B380" s="2094"/>
      <c r="C380" s="2228" t="s">
        <v>1118</v>
      </c>
      <c r="D380" s="2228" t="s">
        <v>1119</v>
      </c>
      <c r="E380" s="2104"/>
      <c r="F380" s="2081" t="s">
        <v>538</v>
      </c>
      <c r="G380" s="2096" t="s">
        <v>539</v>
      </c>
      <c r="H380" s="2096" t="s">
        <v>540</v>
      </c>
      <c r="I380" s="2096" t="s">
        <v>541</v>
      </c>
      <c r="J380" s="2096" t="s">
        <v>542</v>
      </c>
      <c r="K380" s="1022" t="s">
        <v>1169</v>
      </c>
      <c r="L380" s="1061" t="s">
        <v>39</v>
      </c>
      <c r="M380" s="1061" t="s">
        <v>709</v>
      </c>
      <c r="N380" s="1074">
        <v>1</v>
      </c>
      <c r="O380" s="1074">
        <v>0</v>
      </c>
      <c r="P380" s="1074">
        <v>0.5</v>
      </c>
      <c r="Q380" s="1074">
        <v>0.25</v>
      </c>
      <c r="R380" s="1074">
        <v>0.25</v>
      </c>
      <c r="S380" s="1017"/>
      <c r="T380" s="1017"/>
      <c r="U380" s="1075"/>
      <c r="V380" s="1020">
        <v>8000000000</v>
      </c>
      <c r="W380" s="1075">
        <v>500000000</v>
      </c>
      <c r="X380" s="1075">
        <v>500000000</v>
      </c>
      <c r="Y380" s="1020">
        <f t="shared" si="189"/>
        <v>9000000000</v>
      </c>
      <c r="Z380" s="2106"/>
      <c r="AA380" s="1021">
        <f>+Y380</f>
        <v>9000000000</v>
      </c>
      <c r="AB380" s="2091"/>
      <c r="AC380" s="1016">
        <f t="shared" si="191"/>
        <v>1</v>
      </c>
      <c r="AD380" s="1022"/>
      <c r="AE380" s="2091"/>
      <c r="AF380" s="1016">
        <f t="shared" si="192"/>
        <v>0</v>
      </c>
      <c r="AG380" s="1022"/>
      <c r="AH380" s="2106"/>
      <c r="AI380" s="1016">
        <f t="shared" si="193"/>
        <v>0</v>
      </c>
      <c r="AJ380" s="1017"/>
      <c r="AK380" s="2106"/>
      <c r="AL380" s="1017"/>
      <c r="AM380" s="1023">
        <f t="shared" ref="AM380:AM398" si="196">Y380-(AA380+AD380)</f>
        <v>0</v>
      </c>
      <c r="AN380" s="2191"/>
      <c r="AP380" s="1012">
        <f t="shared" si="158"/>
        <v>9000000000</v>
      </c>
      <c r="AQ380" s="287" t="str">
        <f t="shared" si="182"/>
        <v>Bien</v>
      </c>
      <c r="AR380" s="1153" t="s">
        <v>1243</v>
      </c>
    </row>
    <row r="381" spans="1:44" ht="51" x14ac:dyDescent="0.25">
      <c r="A381" s="1855"/>
      <c r="B381" s="2094"/>
      <c r="C381" s="2228"/>
      <c r="D381" s="2228"/>
      <c r="E381" s="2104"/>
      <c r="F381" s="2081"/>
      <c r="G381" s="2096"/>
      <c r="H381" s="2096"/>
      <c r="I381" s="2096"/>
      <c r="J381" s="2096"/>
      <c r="K381" s="1022" t="s">
        <v>543</v>
      </c>
      <c r="L381" s="1061" t="s">
        <v>948</v>
      </c>
      <c r="M381" s="1061" t="s">
        <v>949</v>
      </c>
      <c r="N381" s="1076">
        <v>12000</v>
      </c>
      <c r="O381" s="1076">
        <v>3000</v>
      </c>
      <c r="P381" s="1076">
        <v>3000</v>
      </c>
      <c r="Q381" s="1076">
        <v>3000</v>
      </c>
      <c r="R381" s="1076">
        <v>3000</v>
      </c>
      <c r="S381" s="1017"/>
      <c r="T381" s="1017"/>
      <c r="U381" s="1075">
        <v>360000000</v>
      </c>
      <c r="V381" s="1075">
        <v>0</v>
      </c>
      <c r="W381" s="1075">
        <v>0</v>
      </c>
      <c r="X381" s="1075">
        <v>0</v>
      </c>
      <c r="Y381" s="1020">
        <f t="shared" si="189"/>
        <v>360000000</v>
      </c>
      <c r="Z381" s="2106"/>
      <c r="AA381" s="1024">
        <v>360000000</v>
      </c>
      <c r="AB381" s="2091"/>
      <c r="AC381" s="1016">
        <f t="shared" si="191"/>
        <v>1</v>
      </c>
      <c r="AD381" s="1022"/>
      <c r="AE381" s="2091"/>
      <c r="AF381" s="1016">
        <f t="shared" si="192"/>
        <v>0</v>
      </c>
      <c r="AG381" s="1022"/>
      <c r="AH381" s="2106"/>
      <c r="AI381" s="1016">
        <f t="shared" si="193"/>
        <v>0</v>
      </c>
      <c r="AJ381" s="1017"/>
      <c r="AK381" s="2106"/>
      <c r="AL381" s="1017"/>
      <c r="AM381" s="1023">
        <f t="shared" si="196"/>
        <v>0</v>
      </c>
      <c r="AN381" s="2191"/>
      <c r="AP381" s="1012">
        <f t="shared" si="158"/>
        <v>360000000</v>
      </c>
      <c r="AQ381" s="287" t="str">
        <f t="shared" si="182"/>
        <v>Bien</v>
      </c>
      <c r="AR381" s="1153" t="s">
        <v>1244</v>
      </c>
    </row>
    <row r="382" spans="1:44" ht="30" x14ac:dyDescent="0.25">
      <c r="A382" s="1855"/>
      <c r="B382" s="2094"/>
      <c r="C382" s="2228"/>
      <c r="D382" s="2228"/>
      <c r="E382" s="2104"/>
      <c r="F382" s="2081"/>
      <c r="G382" s="2096"/>
      <c r="H382" s="2096"/>
      <c r="I382" s="2096"/>
      <c r="J382" s="2096"/>
      <c r="K382" s="1022" t="s">
        <v>544</v>
      </c>
      <c r="L382" s="1061" t="s">
        <v>710</v>
      </c>
      <c r="M382" s="1061" t="s">
        <v>545</v>
      </c>
      <c r="N382" s="1074">
        <v>0.19</v>
      </c>
      <c r="O382" s="1063">
        <v>0.1</v>
      </c>
      <c r="P382" s="1063">
        <v>0.03</v>
      </c>
      <c r="Q382" s="1063">
        <v>0.03</v>
      </c>
      <c r="R382" s="1063">
        <v>0.03</v>
      </c>
      <c r="S382" s="1017"/>
      <c r="T382" s="1017"/>
      <c r="U382" s="1075">
        <v>120000000</v>
      </c>
      <c r="V382" s="1075">
        <v>123600000</v>
      </c>
      <c r="W382" s="1075">
        <v>127308000</v>
      </c>
      <c r="X382" s="1075">
        <v>131127240</v>
      </c>
      <c r="Y382" s="1020">
        <f t="shared" si="189"/>
        <v>502035240</v>
      </c>
      <c r="Z382" s="2106"/>
      <c r="AA382" s="1024">
        <v>502035240</v>
      </c>
      <c r="AB382" s="2091"/>
      <c r="AC382" s="1016">
        <f t="shared" si="191"/>
        <v>1</v>
      </c>
      <c r="AD382" s="1022"/>
      <c r="AE382" s="2091"/>
      <c r="AF382" s="1016">
        <f t="shared" si="192"/>
        <v>0</v>
      </c>
      <c r="AG382" s="1022"/>
      <c r="AH382" s="2106"/>
      <c r="AI382" s="1016">
        <f t="shared" si="193"/>
        <v>0</v>
      </c>
      <c r="AJ382" s="1017"/>
      <c r="AK382" s="2106"/>
      <c r="AL382" s="1017"/>
      <c r="AM382" s="1023">
        <f t="shared" si="196"/>
        <v>0</v>
      </c>
      <c r="AN382" s="2191"/>
      <c r="AP382" s="1012">
        <f t="shared" si="158"/>
        <v>502035240</v>
      </c>
      <c r="AQ382" s="287" t="str">
        <f t="shared" si="182"/>
        <v>Bien</v>
      </c>
      <c r="AR382" s="1153" t="s">
        <v>1243</v>
      </c>
    </row>
    <row r="383" spans="1:44" ht="48" customHeight="1" x14ac:dyDescent="0.25">
      <c r="A383" s="1855"/>
      <c r="B383" s="2094"/>
      <c r="C383" s="2228">
        <v>4599</v>
      </c>
      <c r="D383" s="2228" t="s">
        <v>1098</v>
      </c>
      <c r="E383" s="2104"/>
      <c r="F383" s="2081"/>
      <c r="G383" s="2096"/>
      <c r="H383" s="2096"/>
      <c r="I383" s="2096"/>
      <c r="J383" s="2096"/>
      <c r="K383" s="1022" t="s">
        <v>950</v>
      </c>
      <c r="L383" s="1061" t="s">
        <v>546</v>
      </c>
      <c r="M383" s="1061" t="s">
        <v>1271</v>
      </c>
      <c r="N383" s="1074">
        <v>1.1000000000000001</v>
      </c>
      <c r="O383" s="1077">
        <v>0.27500000000000002</v>
      </c>
      <c r="P383" s="1077">
        <v>0.27500000000000002</v>
      </c>
      <c r="Q383" s="1077">
        <v>0.27500000000000002</v>
      </c>
      <c r="R383" s="1077">
        <v>0.27500000000000002</v>
      </c>
      <c r="S383" s="1017"/>
      <c r="T383" s="1017"/>
      <c r="U383" s="1075">
        <v>342747844</v>
      </c>
      <c r="V383" s="1075">
        <v>353030279.31999999</v>
      </c>
      <c r="W383" s="1075">
        <v>363621187.69959998</v>
      </c>
      <c r="X383" s="1075">
        <v>374529823.33058798</v>
      </c>
      <c r="Y383" s="1020">
        <f t="shared" si="189"/>
        <v>1433929134.3501878</v>
      </c>
      <c r="Z383" s="2106"/>
      <c r="AA383" s="1024">
        <v>1433929134</v>
      </c>
      <c r="AB383" s="2091"/>
      <c r="AC383" s="1016">
        <f t="shared" si="191"/>
        <v>0.99999999975578446</v>
      </c>
      <c r="AD383" s="1022"/>
      <c r="AE383" s="2091"/>
      <c r="AF383" s="1016">
        <f t="shared" si="192"/>
        <v>0</v>
      </c>
      <c r="AG383" s="1022"/>
      <c r="AH383" s="2106"/>
      <c r="AI383" s="1016">
        <f t="shared" si="193"/>
        <v>0</v>
      </c>
      <c r="AJ383" s="1017"/>
      <c r="AK383" s="2106"/>
      <c r="AL383" s="1017"/>
      <c r="AM383" s="1023">
        <f t="shared" si="196"/>
        <v>0.35018777847290039</v>
      </c>
      <c r="AN383" s="2191"/>
      <c r="AP383" s="1012">
        <f t="shared" si="158"/>
        <v>1433929134.3501878</v>
      </c>
      <c r="AQ383" s="287" t="str">
        <f t="shared" si="182"/>
        <v>Bien</v>
      </c>
      <c r="AR383" s="1153" t="s">
        <v>1244</v>
      </c>
    </row>
    <row r="384" spans="1:44" ht="51" x14ac:dyDescent="0.25">
      <c r="A384" s="1855"/>
      <c r="B384" s="2094"/>
      <c r="C384" s="2228"/>
      <c r="D384" s="2228"/>
      <c r="E384" s="2104"/>
      <c r="F384" s="2081"/>
      <c r="G384" s="2096"/>
      <c r="H384" s="2096"/>
      <c r="I384" s="2096"/>
      <c r="J384" s="2096"/>
      <c r="K384" s="1022" t="s">
        <v>711</v>
      </c>
      <c r="L384" s="1061" t="s">
        <v>712</v>
      </c>
      <c r="M384" s="1061" t="s">
        <v>547</v>
      </c>
      <c r="N384" s="1074">
        <v>1</v>
      </c>
      <c r="O384" s="1074">
        <v>0.25</v>
      </c>
      <c r="P384" s="1074">
        <v>0.25</v>
      </c>
      <c r="Q384" s="1074">
        <v>0.25</v>
      </c>
      <c r="R384" s="1074">
        <v>0.25</v>
      </c>
      <c r="S384" s="1017"/>
      <c r="T384" s="1017"/>
      <c r="U384" s="1075">
        <v>182809760</v>
      </c>
      <c r="V384" s="1075">
        <v>610594053</v>
      </c>
      <c r="W384" s="1075">
        <v>578911874</v>
      </c>
      <c r="X384" s="1075">
        <v>647779231</v>
      </c>
      <c r="Y384" s="1020">
        <f t="shared" si="189"/>
        <v>2020094918</v>
      </c>
      <c r="Z384" s="2106"/>
      <c r="AA384" s="1024">
        <v>2020094918</v>
      </c>
      <c r="AB384" s="2091"/>
      <c r="AC384" s="1016">
        <f t="shared" si="191"/>
        <v>1</v>
      </c>
      <c r="AD384" s="1022"/>
      <c r="AE384" s="2091"/>
      <c r="AF384" s="1016">
        <f t="shared" si="192"/>
        <v>0</v>
      </c>
      <c r="AG384" s="1022"/>
      <c r="AH384" s="2106"/>
      <c r="AI384" s="1016">
        <f t="shared" si="193"/>
        <v>0</v>
      </c>
      <c r="AJ384" s="1017"/>
      <c r="AK384" s="2106"/>
      <c r="AL384" s="1017"/>
      <c r="AM384" s="1023">
        <f t="shared" si="196"/>
        <v>0</v>
      </c>
      <c r="AN384" s="2191"/>
      <c r="AP384" s="1012">
        <f t="shared" si="158"/>
        <v>2020094918</v>
      </c>
      <c r="AQ384" s="287" t="str">
        <f t="shared" si="182"/>
        <v>Bien</v>
      </c>
      <c r="AR384" s="1153" t="s">
        <v>1244</v>
      </c>
    </row>
    <row r="385" spans="1:44" ht="25.5" x14ac:dyDescent="0.25">
      <c r="A385" s="1855"/>
      <c r="B385" s="2094"/>
      <c r="C385" s="2228"/>
      <c r="D385" s="2228"/>
      <c r="E385" s="2104"/>
      <c r="F385" s="2081"/>
      <c r="G385" s="2096"/>
      <c r="H385" s="2096"/>
      <c r="I385" s="2096"/>
      <c r="J385" s="2096"/>
      <c r="K385" s="1022" t="s">
        <v>548</v>
      </c>
      <c r="L385" s="1061" t="s">
        <v>713</v>
      </c>
      <c r="M385" s="1061" t="s">
        <v>549</v>
      </c>
      <c r="N385" s="1061" t="s">
        <v>548</v>
      </c>
      <c r="O385" s="1061">
        <v>1</v>
      </c>
      <c r="P385" s="1061" t="s">
        <v>550</v>
      </c>
      <c r="Q385" s="1061" t="s">
        <v>550</v>
      </c>
      <c r="R385" s="1061" t="s">
        <v>550</v>
      </c>
      <c r="S385" s="1017"/>
      <c r="T385" s="1017"/>
      <c r="U385" s="1075">
        <v>50000000</v>
      </c>
      <c r="V385" s="1075">
        <v>0</v>
      </c>
      <c r="W385" s="1075">
        <v>50000000</v>
      </c>
      <c r="X385" s="1075">
        <v>0</v>
      </c>
      <c r="Y385" s="1020">
        <f t="shared" si="189"/>
        <v>100000000</v>
      </c>
      <c r="Z385" s="2106"/>
      <c r="AA385" s="1024">
        <v>100000000</v>
      </c>
      <c r="AB385" s="2091"/>
      <c r="AC385" s="1016">
        <f t="shared" si="191"/>
        <v>1</v>
      </c>
      <c r="AD385" s="1022"/>
      <c r="AE385" s="2091"/>
      <c r="AF385" s="1016">
        <f t="shared" si="192"/>
        <v>0</v>
      </c>
      <c r="AG385" s="1022"/>
      <c r="AH385" s="2106"/>
      <c r="AI385" s="1016">
        <f t="shared" si="193"/>
        <v>0</v>
      </c>
      <c r="AJ385" s="1017"/>
      <c r="AK385" s="2106"/>
      <c r="AL385" s="1017"/>
      <c r="AM385" s="1023">
        <f t="shared" si="196"/>
        <v>0</v>
      </c>
      <c r="AN385" s="2191"/>
      <c r="AP385" s="1012">
        <f t="shared" si="158"/>
        <v>100000000</v>
      </c>
      <c r="AQ385" s="287" t="str">
        <f t="shared" si="182"/>
        <v>Bien</v>
      </c>
      <c r="AR385" s="1153" t="s">
        <v>1244</v>
      </c>
    </row>
    <row r="386" spans="1:44" ht="38.25" x14ac:dyDescent="0.25">
      <c r="A386" s="1855"/>
      <c r="B386" s="2094"/>
      <c r="C386" s="2228"/>
      <c r="D386" s="2228"/>
      <c r="E386" s="2104"/>
      <c r="F386" s="2081"/>
      <c r="G386" s="2096"/>
      <c r="H386" s="2096"/>
      <c r="I386" s="2096"/>
      <c r="J386" s="2096"/>
      <c r="K386" s="1022" t="s">
        <v>951</v>
      </c>
      <c r="L386" s="1061" t="s">
        <v>952</v>
      </c>
      <c r="M386" s="1061">
        <v>0</v>
      </c>
      <c r="N386" s="1061">
        <v>1</v>
      </c>
      <c r="O386" s="1061">
        <v>1</v>
      </c>
      <c r="P386" s="1061" t="s">
        <v>550</v>
      </c>
      <c r="Q386" s="1061" t="s">
        <v>550</v>
      </c>
      <c r="R386" s="1061" t="s">
        <v>550</v>
      </c>
      <c r="S386" s="1017"/>
      <c r="T386" s="1017"/>
      <c r="U386" s="1075">
        <v>20000000</v>
      </c>
      <c r="V386" s="1075">
        <v>0</v>
      </c>
      <c r="W386" s="1075"/>
      <c r="X386" s="1075"/>
      <c r="Y386" s="1020">
        <f t="shared" si="189"/>
        <v>20000000</v>
      </c>
      <c r="Z386" s="2106"/>
      <c r="AA386" s="1024">
        <v>20000000</v>
      </c>
      <c r="AB386" s="2091"/>
      <c r="AC386" s="1016">
        <f t="shared" si="191"/>
        <v>1</v>
      </c>
      <c r="AD386" s="1022"/>
      <c r="AE386" s="2091"/>
      <c r="AF386" s="1016">
        <f t="shared" si="192"/>
        <v>0</v>
      </c>
      <c r="AG386" s="1022"/>
      <c r="AH386" s="2106"/>
      <c r="AI386" s="1016">
        <f t="shared" si="193"/>
        <v>0</v>
      </c>
      <c r="AJ386" s="1017"/>
      <c r="AK386" s="2106"/>
      <c r="AL386" s="1017"/>
      <c r="AM386" s="1023">
        <f t="shared" si="196"/>
        <v>0</v>
      </c>
      <c r="AN386" s="2191"/>
      <c r="AP386" s="1012">
        <f t="shared" si="158"/>
        <v>20000000</v>
      </c>
      <c r="AQ386" s="287" t="str">
        <f t="shared" si="182"/>
        <v>Bien</v>
      </c>
      <c r="AR386" s="1153" t="s">
        <v>1244</v>
      </c>
    </row>
    <row r="387" spans="1:44" ht="38.25" x14ac:dyDescent="0.25">
      <c r="A387" s="1855"/>
      <c r="B387" s="2094"/>
      <c r="C387" s="2228"/>
      <c r="D387" s="2228"/>
      <c r="E387" s="2104"/>
      <c r="F387" s="2081" t="s">
        <v>551</v>
      </c>
      <c r="G387" s="2096" t="s">
        <v>552</v>
      </c>
      <c r="H387" s="2096" t="s">
        <v>553</v>
      </c>
      <c r="I387" s="2096" t="s">
        <v>554</v>
      </c>
      <c r="J387" s="2097" t="s">
        <v>551</v>
      </c>
      <c r="K387" s="1022" t="s">
        <v>555</v>
      </c>
      <c r="L387" s="892" t="s">
        <v>953</v>
      </c>
      <c r="M387" s="1061">
        <v>0</v>
      </c>
      <c r="N387" s="1061">
        <v>1</v>
      </c>
      <c r="O387" s="1061" t="s">
        <v>550</v>
      </c>
      <c r="P387" s="1061">
        <v>1</v>
      </c>
      <c r="Q387" s="1061" t="s">
        <v>550</v>
      </c>
      <c r="R387" s="1061" t="s">
        <v>550</v>
      </c>
      <c r="S387" s="1017"/>
      <c r="T387" s="1017"/>
      <c r="U387" s="1075"/>
      <c r="V387" s="1075">
        <v>20000000</v>
      </c>
      <c r="W387" s="1075"/>
      <c r="X387" s="1075"/>
      <c r="Y387" s="1020">
        <f t="shared" si="189"/>
        <v>20000000</v>
      </c>
      <c r="Z387" s="2106"/>
      <c r="AA387" s="1024">
        <v>20000000</v>
      </c>
      <c r="AB387" s="2091"/>
      <c r="AC387" s="1016">
        <f t="shared" si="191"/>
        <v>1</v>
      </c>
      <c r="AD387" s="1022"/>
      <c r="AE387" s="2091"/>
      <c r="AF387" s="1016">
        <f t="shared" si="192"/>
        <v>0</v>
      </c>
      <c r="AG387" s="1022"/>
      <c r="AH387" s="2106"/>
      <c r="AI387" s="1016">
        <f t="shared" si="193"/>
        <v>0</v>
      </c>
      <c r="AJ387" s="1017"/>
      <c r="AK387" s="2106"/>
      <c r="AL387" s="1017"/>
      <c r="AM387" s="1023">
        <f t="shared" si="196"/>
        <v>0</v>
      </c>
      <c r="AN387" s="2191"/>
      <c r="AP387" s="1012">
        <f t="shared" si="158"/>
        <v>20000000</v>
      </c>
      <c r="AQ387" s="287" t="str">
        <f t="shared" si="182"/>
        <v>Bien</v>
      </c>
      <c r="AR387" s="1153" t="s">
        <v>1245</v>
      </c>
    </row>
    <row r="388" spans="1:44" ht="25.5" x14ac:dyDescent="0.25">
      <c r="A388" s="1855"/>
      <c r="B388" s="2094"/>
      <c r="C388" s="2228"/>
      <c r="D388" s="2228"/>
      <c r="E388" s="2104"/>
      <c r="F388" s="2081"/>
      <c r="G388" s="2096"/>
      <c r="H388" s="2096"/>
      <c r="I388" s="2096"/>
      <c r="J388" s="2097"/>
      <c r="K388" s="1060" t="s">
        <v>954</v>
      </c>
      <c r="L388" s="1061" t="s">
        <v>955</v>
      </c>
      <c r="M388" s="1061">
        <v>0</v>
      </c>
      <c r="N388" s="892">
        <v>2</v>
      </c>
      <c r="O388" s="1061" t="s">
        <v>550</v>
      </c>
      <c r="P388" s="1061">
        <v>1</v>
      </c>
      <c r="Q388" s="1061" t="s">
        <v>550</v>
      </c>
      <c r="R388" s="1061">
        <v>1</v>
      </c>
      <c r="S388" s="1017"/>
      <c r="T388" s="1017"/>
      <c r="U388" s="1075">
        <v>50000000</v>
      </c>
      <c r="V388" s="1075">
        <v>31500000</v>
      </c>
      <c r="W388" s="1075">
        <v>53045000</v>
      </c>
      <c r="X388" s="1075">
        <v>54636350</v>
      </c>
      <c r="Y388" s="1020">
        <f t="shared" si="189"/>
        <v>189181350</v>
      </c>
      <c r="Z388" s="2106"/>
      <c r="AA388" s="1024">
        <v>189181350</v>
      </c>
      <c r="AB388" s="2091"/>
      <c r="AC388" s="1016">
        <f t="shared" si="191"/>
        <v>1</v>
      </c>
      <c r="AD388" s="1022"/>
      <c r="AE388" s="2091"/>
      <c r="AF388" s="1016">
        <f t="shared" si="192"/>
        <v>0</v>
      </c>
      <c r="AG388" s="1022"/>
      <c r="AH388" s="2106"/>
      <c r="AI388" s="1016">
        <f t="shared" si="193"/>
        <v>0</v>
      </c>
      <c r="AJ388" s="1017"/>
      <c r="AK388" s="2106"/>
      <c r="AL388" s="1017"/>
      <c r="AM388" s="1023">
        <f t="shared" si="196"/>
        <v>0</v>
      </c>
      <c r="AN388" s="2191"/>
      <c r="AP388" s="1012">
        <f t="shared" si="158"/>
        <v>189181350</v>
      </c>
      <c r="AQ388" s="287" t="str">
        <f t="shared" si="182"/>
        <v>Bien</v>
      </c>
      <c r="AR388" s="1153" t="s">
        <v>1244</v>
      </c>
    </row>
    <row r="389" spans="1:44" ht="38.25" x14ac:dyDescent="0.25">
      <c r="A389" s="1855"/>
      <c r="B389" s="2094"/>
      <c r="C389" s="2228"/>
      <c r="D389" s="2228"/>
      <c r="E389" s="2104"/>
      <c r="F389" s="2081"/>
      <c r="G389" s="2096"/>
      <c r="H389" s="2096"/>
      <c r="I389" s="2096"/>
      <c r="J389" s="2097"/>
      <c r="K389" s="1022" t="s">
        <v>556</v>
      </c>
      <c r="L389" s="1061" t="s">
        <v>992</v>
      </c>
      <c r="M389" s="1061">
        <v>0</v>
      </c>
      <c r="N389" s="1061">
        <v>3</v>
      </c>
      <c r="O389" s="1061">
        <v>2</v>
      </c>
      <c r="P389" s="1061">
        <v>1</v>
      </c>
      <c r="Q389" s="1061" t="s">
        <v>550</v>
      </c>
      <c r="R389" s="1061" t="s">
        <v>550</v>
      </c>
      <c r="S389" s="1017"/>
      <c r="T389" s="1017"/>
      <c r="U389" s="1075">
        <v>0</v>
      </c>
      <c r="V389" s="1075">
        <v>0</v>
      </c>
      <c r="W389" s="1075">
        <v>0</v>
      </c>
      <c r="X389" s="1075">
        <v>0</v>
      </c>
      <c r="Y389" s="1020">
        <f t="shared" si="189"/>
        <v>0</v>
      </c>
      <c r="Z389" s="2106"/>
      <c r="AA389" s="1022"/>
      <c r="AB389" s="2091"/>
      <c r="AC389" s="1016" t="e">
        <f t="shared" si="191"/>
        <v>#DIV/0!</v>
      </c>
      <c r="AD389" s="1022"/>
      <c r="AE389" s="2091"/>
      <c r="AF389" s="1016" t="e">
        <f t="shared" si="192"/>
        <v>#DIV/0!</v>
      </c>
      <c r="AG389" s="1022"/>
      <c r="AH389" s="2106"/>
      <c r="AI389" s="1016" t="e">
        <f t="shared" si="193"/>
        <v>#DIV/0!</v>
      </c>
      <c r="AJ389" s="1017"/>
      <c r="AK389" s="2106"/>
      <c r="AL389" s="1017"/>
      <c r="AM389" s="1023">
        <f t="shared" si="196"/>
        <v>0</v>
      </c>
      <c r="AN389" s="2191"/>
      <c r="AP389" s="1012">
        <f t="shared" si="158"/>
        <v>0</v>
      </c>
      <c r="AQ389" s="287" t="str">
        <f t="shared" si="182"/>
        <v>Bien</v>
      </c>
      <c r="AR389" s="1153" t="s">
        <v>1244</v>
      </c>
    </row>
    <row r="390" spans="1:44" ht="38.25" x14ac:dyDescent="0.25">
      <c r="A390" s="1855"/>
      <c r="B390" s="2094"/>
      <c r="C390" s="2228"/>
      <c r="D390" s="2228"/>
      <c r="E390" s="2104"/>
      <c r="F390" s="2081"/>
      <c r="G390" s="2096"/>
      <c r="H390" s="2096"/>
      <c r="I390" s="2096"/>
      <c r="J390" s="2097"/>
      <c r="K390" s="1022" t="s">
        <v>557</v>
      </c>
      <c r="L390" s="1061" t="s">
        <v>1170</v>
      </c>
      <c r="M390" s="1061">
        <v>32</v>
      </c>
      <c r="N390" s="1061">
        <v>32</v>
      </c>
      <c r="O390" s="1061">
        <v>32</v>
      </c>
      <c r="P390" s="1061">
        <v>32</v>
      </c>
      <c r="Q390" s="1061">
        <v>32</v>
      </c>
      <c r="R390" s="1061">
        <v>32</v>
      </c>
      <c r="S390" s="1017"/>
      <c r="T390" s="1017"/>
      <c r="U390" s="1075">
        <v>141206007</v>
      </c>
      <c r="V390" s="1075">
        <v>145442187</v>
      </c>
      <c r="W390" s="1075">
        <v>149805453</v>
      </c>
      <c r="X390" s="1075">
        <v>154299616</v>
      </c>
      <c r="Y390" s="1020">
        <f t="shared" si="189"/>
        <v>590753263</v>
      </c>
      <c r="Z390" s="2106"/>
      <c r="AA390" s="1022"/>
      <c r="AB390" s="2091"/>
      <c r="AC390" s="1016">
        <f t="shared" si="191"/>
        <v>0</v>
      </c>
      <c r="AD390" s="1024">
        <v>590753263</v>
      </c>
      <c r="AE390" s="2091"/>
      <c r="AF390" s="1016">
        <f t="shared" si="192"/>
        <v>1</v>
      </c>
      <c r="AG390" s="1022"/>
      <c r="AH390" s="2106"/>
      <c r="AI390" s="1016">
        <f t="shared" si="193"/>
        <v>0</v>
      </c>
      <c r="AJ390" s="1017"/>
      <c r="AK390" s="2106"/>
      <c r="AL390" s="1017"/>
      <c r="AM390" s="1023">
        <f t="shared" si="196"/>
        <v>0</v>
      </c>
      <c r="AN390" s="2191"/>
      <c r="AP390" s="1012">
        <f t="shared" si="158"/>
        <v>590753263</v>
      </c>
      <c r="AQ390" s="287" t="str">
        <f t="shared" si="182"/>
        <v>Bien</v>
      </c>
      <c r="AR390" s="1153" t="s">
        <v>1244</v>
      </c>
    </row>
    <row r="391" spans="1:44" ht="38.25" x14ac:dyDescent="0.25">
      <c r="A391" s="1855"/>
      <c r="B391" s="2094"/>
      <c r="C391" s="2228"/>
      <c r="D391" s="2228"/>
      <c r="E391" s="2104"/>
      <c r="F391" s="2081"/>
      <c r="G391" s="2096"/>
      <c r="H391" s="2096"/>
      <c r="I391" s="2096"/>
      <c r="J391" s="2097"/>
      <c r="K391" s="1022" t="s">
        <v>558</v>
      </c>
      <c r="L391" s="1061" t="s">
        <v>956</v>
      </c>
      <c r="M391" s="1061">
        <v>4</v>
      </c>
      <c r="N391" s="1061">
        <v>17</v>
      </c>
      <c r="O391" s="1061">
        <v>2</v>
      </c>
      <c r="P391" s="1061">
        <v>5</v>
      </c>
      <c r="Q391" s="1061">
        <v>5</v>
      </c>
      <c r="R391" s="1061">
        <v>5</v>
      </c>
      <c r="S391" s="1017"/>
      <c r="T391" s="1017"/>
      <c r="U391" s="1075">
        <v>30000000</v>
      </c>
      <c r="V391" s="1075">
        <v>30900000</v>
      </c>
      <c r="W391" s="1075">
        <v>31827000</v>
      </c>
      <c r="X391" s="1075">
        <v>32781810</v>
      </c>
      <c r="Y391" s="1020">
        <f t="shared" si="189"/>
        <v>125508810</v>
      </c>
      <c r="Z391" s="2106"/>
      <c r="AA391" s="1022"/>
      <c r="AB391" s="2091"/>
      <c r="AC391" s="1016">
        <f t="shared" si="191"/>
        <v>0</v>
      </c>
      <c r="AD391" s="1024">
        <v>125508810</v>
      </c>
      <c r="AE391" s="2091"/>
      <c r="AF391" s="1016">
        <f t="shared" si="192"/>
        <v>1</v>
      </c>
      <c r="AG391" s="1022"/>
      <c r="AH391" s="2106"/>
      <c r="AI391" s="1016">
        <f t="shared" si="193"/>
        <v>0</v>
      </c>
      <c r="AJ391" s="1017"/>
      <c r="AK391" s="2106"/>
      <c r="AL391" s="1017"/>
      <c r="AM391" s="1023">
        <f t="shared" si="196"/>
        <v>0</v>
      </c>
      <c r="AN391" s="2191"/>
      <c r="AP391" s="1012">
        <f t="shared" si="158"/>
        <v>125508810</v>
      </c>
      <c r="AQ391" s="287" t="str">
        <f t="shared" si="182"/>
        <v>Bien</v>
      </c>
      <c r="AR391" s="1153" t="s">
        <v>1245</v>
      </c>
    </row>
    <row r="392" spans="1:44" ht="25.5" customHeight="1" x14ac:dyDescent="0.25">
      <c r="A392" s="1855"/>
      <c r="B392" s="2094"/>
      <c r="C392" s="2228">
        <v>2302</v>
      </c>
      <c r="D392" s="2228" t="s">
        <v>1117</v>
      </c>
      <c r="E392" s="2104"/>
      <c r="F392" s="2098" t="s">
        <v>559</v>
      </c>
      <c r="G392" s="2098" t="s">
        <v>957</v>
      </c>
      <c r="H392" s="2099" t="s">
        <v>107</v>
      </c>
      <c r="I392" s="2100">
        <v>18000000000</v>
      </c>
      <c r="J392" s="1078" t="s">
        <v>1173</v>
      </c>
      <c r="K392" s="1065" t="s">
        <v>1171</v>
      </c>
      <c r="L392" s="1079" t="s">
        <v>958</v>
      </c>
      <c r="M392" s="1080">
        <v>0</v>
      </c>
      <c r="N392" s="1080">
        <v>0.2</v>
      </c>
      <c r="O392" s="1080">
        <v>0.03</v>
      </c>
      <c r="P392" s="1080">
        <v>0.05</v>
      </c>
      <c r="Q392" s="1080">
        <v>0.06</v>
      </c>
      <c r="R392" s="1080">
        <v>0.06</v>
      </c>
      <c r="S392" s="1017"/>
      <c r="T392" s="1017"/>
      <c r="U392" s="1026">
        <v>10000000</v>
      </c>
      <c r="V392" s="1026">
        <v>20000000</v>
      </c>
      <c r="W392" s="1026">
        <v>25000000</v>
      </c>
      <c r="X392" s="1026">
        <v>25000000</v>
      </c>
      <c r="Y392" s="1020">
        <f t="shared" si="189"/>
        <v>80000000</v>
      </c>
      <c r="Z392" s="2106"/>
      <c r="AA392" s="1025"/>
      <c r="AB392" s="2091"/>
      <c r="AC392" s="1016">
        <f t="shared" si="191"/>
        <v>0</v>
      </c>
      <c r="AD392" s="1025"/>
      <c r="AE392" s="2091"/>
      <c r="AF392" s="1016">
        <f t="shared" si="192"/>
        <v>0</v>
      </c>
      <c r="AG392" s="1026"/>
      <c r="AH392" s="2106"/>
      <c r="AI392" s="1016">
        <f t="shared" si="193"/>
        <v>0</v>
      </c>
      <c r="AJ392" s="1017"/>
      <c r="AK392" s="2106"/>
      <c r="AL392" s="1017"/>
      <c r="AM392" s="1023">
        <f t="shared" si="196"/>
        <v>80000000</v>
      </c>
      <c r="AN392" s="2191"/>
      <c r="AP392" s="1012">
        <f t="shared" si="158"/>
        <v>80000000</v>
      </c>
      <c r="AQ392" s="287" t="str">
        <f t="shared" si="182"/>
        <v>Bien</v>
      </c>
      <c r="AR392" s="1153" t="s">
        <v>1246</v>
      </c>
    </row>
    <row r="393" spans="1:44" ht="25.5" x14ac:dyDescent="0.25">
      <c r="A393" s="1855"/>
      <c r="B393" s="2094"/>
      <c r="C393" s="2228"/>
      <c r="D393" s="2228"/>
      <c r="E393" s="2104"/>
      <c r="F393" s="2098"/>
      <c r="G393" s="2098"/>
      <c r="H393" s="2099"/>
      <c r="I393" s="2100"/>
      <c r="J393" s="1081" t="s">
        <v>1172</v>
      </c>
      <c r="K393" s="1065" t="s">
        <v>1174</v>
      </c>
      <c r="L393" s="1082" t="s">
        <v>959</v>
      </c>
      <c r="M393" s="1080">
        <v>0</v>
      </c>
      <c r="N393" s="1080">
        <v>1</v>
      </c>
      <c r="O393" s="1080">
        <v>0.2</v>
      </c>
      <c r="P393" s="1080">
        <v>0.2</v>
      </c>
      <c r="Q393" s="1080">
        <v>0.3</v>
      </c>
      <c r="R393" s="1080">
        <v>0.3</v>
      </c>
      <c r="S393" s="1017"/>
      <c r="T393" s="1017"/>
      <c r="U393" s="1026">
        <v>0</v>
      </c>
      <c r="V393" s="1026">
        <v>11988384278</v>
      </c>
      <c r="W393" s="1026">
        <v>8991288208</v>
      </c>
      <c r="X393" s="1026">
        <v>8991288208</v>
      </c>
      <c r="Y393" s="1020">
        <f t="shared" si="189"/>
        <v>29970960694</v>
      </c>
      <c r="Z393" s="2106"/>
      <c r="AA393" s="1025"/>
      <c r="AB393" s="2091"/>
      <c r="AC393" s="1016">
        <f t="shared" si="191"/>
        <v>0</v>
      </c>
      <c r="AD393" s="1025"/>
      <c r="AE393" s="2091"/>
      <c r="AF393" s="1016">
        <f t="shared" si="192"/>
        <v>0</v>
      </c>
      <c r="AG393" s="1027">
        <v>29970960694</v>
      </c>
      <c r="AH393" s="2106"/>
      <c r="AI393" s="1016">
        <f t="shared" si="193"/>
        <v>1</v>
      </c>
      <c r="AJ393" s="1017"/>
      <c r="AK393" s="2106"/>
      <c r="AL393" s="1017"/>
      <c r="AM393" s="1023">
        <v>0</v>
      </c>
      <c r="AN393" s="2191"/>
      <c r="AP393" s="1012">
        <f t="shared" ref="AP393:AP399" si="197">+AA393+AD393+AG393+AJ393+AM393</f>
        <v>29970960694</v>
      </c>
      <c r="AQ393" s="287" t="str">
        <f t="shared" si="182"/>
        <v>Bien</v>
      </c>
      <c r="AR393" s="1153" t="s">
        <v>1247</v>
      </c>
    </row>
    <row r="394" spans="1:44" ht="41.25" customHeight="1" x14ac:dyDescent="0.25">
      <c r="A394" s="1855"/>
      <c r="B394" s="2094"/>
      <c r="C394" s="2228"/>
      <c r="D394" s="2228"/>
      <c r="E394" s="2104"/>
      <c r="F394" s="2098"/>
      <c r="G394" s="2098"/>
      <c r="H394" s="2099"/>
      <c r="I394" s="2100"/>
      <c r="J394" s="1081" t="s">
        <v>560</v>
      </c>
      <c r="K394" s="1083" t="s">
        <v>1175</v>
      </c>
      <c r="L394" s="1084" t="s">
        <v>1176</v>
      </c>
      <c r="M394" s="1082">
        <v>330</v>
      </c>
      <c r="N394" s="1082">
        <v>10330</v>
      </c>
      <c r="O394" s="1082">
        <v>1000</v>
      </c>
      <c r="P394" s="1082">
        <v>3000</v>
      </c>
      <c r="Q394" s="1082">
        <v>3000</v>
      </c>
      <c r="R394" s="1082">
        <v>3000</v>
      </c>
      <c r="S394" s="1017"/>
      <c r="T394" s="1017"/>
      <c r="U394" s="1027">
        <v>800000000</v>
      </c>
      <c r="V394" s="1027">
        <v>2400000000</v>
      </c>
      <c r="W394" s="1027">
        <v>2400000000</v>
      </c>
      <c r="X394" s="1027">
        <v>2400000000</v>
      </c>
      <c r="Y394" s="1020">
        <f t="shared" si="189"/>
        <v>8000000000</v>
      </c>
      <c r="Z394" s="2106"/>
      <c r="AA394" s="1025"/>
      <c r="AB394" s="2091"/>
      <c r="AC394" s="1016">
        <f t="shared" si="191"/>
        <v>0</v>
      </c>
      <c r="AD394" s="1025"/>
      <c r="AE394" s="2091"/>
      <c r="AF394" s="1016">
        <f t="shared" si="192"/>
        <v>0</v>
      </c>
      <c r="AG394" s="1026"/>
      <c r="AH394" s="2106"/>
      <c r="AI394" s="1016">
        <f t="shared" si="193"/>
        <v>0</v>
      </c>
      <c r="AJ394" s="1017"/>
      <c r="AK394" s="2106"/>
      <c r="AL394" s="1017"/>
      <c r="AM394" s="1023">
        <f t="shared" si="196"/>
        <v>8000000000</v>
      </c>
      <c r="AN394" s="2191"/>
      <c r="AP394" s="1012">
        <f t="shared" si="197"/>
        <v>8000000000</v>
      </c>
      <c r="AQ394" s="287" t="str">
        <f t="shared" si="182"/>
        <v>Bien</v>
      </c>
      <c r="AR394" s="1158" t="s">
        <v>1247</v>
      </c>
    </row>
    <row r="395" spans="1:44" ht="30" x14ac:dyDescent="0.25">
      <c r="A395" s="1855"/>
      <c r="B395" s="2094"/>
      <c r="C395" s="1771">
        <v>4599</v>
      </c>
      <c r="D395" s="1771" t="s">
        <v>1098</v>
      </c>
      <c r="E395" s="2082" t="s">
        <v>960</v>
      </c>
      <c r="F395" s="2101" t="s">
        <v>1178</v>
      </c>
      <c r="G395" s="2101" t="s">
        <v>1177</v>
      </c>
      <c r="H395" s="2102">
        <v>0</v>
      </c>
      <c r="I395" s="2102">
        <v>1</v>
      </c>
      <c r="J395" s="1171" t="s">
        <v>1179</v>
      </c>
      <c r="K395" s="1085" t="s">
        <v>1180</v>
      </c>
      <c r="L395" s="1085" t="s">
        <v>708</v>
      </c>
      <c r="M395" s="1086">
        <v>0</v>
      </c>
      <c r="N395" s="1086">
        <v>1</v>
      </c>
      <c r="O395" s="1087">
        <v>0.1</v>
      </c>
      <c r="P395" s="1088">
        <v>0.3</v>
      </c>
      <c r="Q395" s="1089">
        <v>0.3</v>
      </c>
      <c r="R395" s="1089">
        <v>0.3</v>
      </c>
      <c r="S395" s="1031"/>
      <c r="T395" s="1031"/>
      <c r="U395" s="1090">
        <v>10000000</v>
      </c>
      <c r="V395" s="1090">
        <v>10200000</v>
      </c>
      <c r="W395" s="1090">
        <v>10404000</v>
      </c>
      <c r="X395" s="1090">
        <v>10612080</v>
      </c>
      <c r="Y395" s="1028">
        <f t="shared" si="189"/>
        <v>41216080</v>
      </c>
      <c r="Z395" s="2208">
        <f>Y395+Y396</f>
        <v>82432160</v>
      </c>
      <c r="AA395" s="1029">
        <v>31116080</v>
      </c>
      <c r="AB395" s="2209">
        <f>AA395+AA396</f>
        <v>62232160</v>
      </c>
      <c r="AC395" s="1030">
        <f t="shared" si="191"/>
        <v>0.75495000980199956</v>
      </c>
      <c r="AD395" s="1031"/>
      <c r="AE395" s="2209">
        <f>AD395+AD396</f>
        <v>0</v>
      </c>
      <c r="AF395" s="1030">
        <f t="shared" si="192"/>
        <v>0</v>
      </c>
      <c r="AG395" s="1031"/>
      <c r="AH395" s="2208">
        <f>AG395+AG396</f>
        <v>0</v>
      </c>
      <c r="AI395" s="1030">
        <f t="shared" si="193"/>
        <v>0</v>
      </c>
      <c r="AJ395" s="1031"/>
      <c r="AK395" s="2208">
        <f>AJ395+AJ396</f>
        <v>0</v>
      </c>
      <c r="AL395" s="1031"/>
      <c r="AM395" s="1032">
        <f t="shared" si="196"/>
        <v>10100000</v>
      </c>
      <c r="AN395" s="2195">
        <f>AM395+AM396</f>
        <v>20200000</v>
      </c>
      <c r="AP395" s="1012">
        <f t="shared" si="197"/>
        <v>41216080</v>
      </c>
      <c r="AQ395" s="287" t="str">
        <f t="shared" si="182"/>
        <v>Bien</v>
      </c>
      <c r="AR395" s="1153" t="s">
        <v>1248</v>
      </c>
    </row>
    <row r="396" spans="1:44" ht="30" x14ac:dyDescent="0.25">
      <c r="A396" s="1855"/>
      <c r="B396" s="2094"/>
      <c r="C396" s="1771"/>
      <c r="D396" s="1771"/>
      <c r="E396" s="2082"/>
      <c r="F396" s="2101"/>
      <c r="G396" s="2101"/>
      <c r="H396" s="2102"/>
      <c r="I396" s="2102"/>
      <c r="J396" s="1172"/>
      <c r="K396" s="1085" t="s">
        <v>1181</v>
      </c>
      <c r="L396" s="1085" t="s">
        <v>708</v>
      </c>
      <c r="M396" s="1086">
        <v>0</v>
      </c>
      <c r="N396" s="1086">
        <v>1</v>
      </c>
      <c r="O396" s="1087">
        <v>0.1</v>
      </c>
      <c r="P396" s="1088">
        <v>0.3</v>
      </c>
      <c r="Q396" s="1089">
        <v>0.3</v>
      </c>
      <c r="R396" s="1089">
        <v>0.3</v>
      </c>
      <c r="S396" s="1031"/>
      <c r="T396" s="1031"/>
      <c r="U396" s="1090">
        <v>10000000</v>
      </c>
      <c r="V396" s="1090">
        <v>10200000</v>
      </c>
      <c r="W396" s="1090">
        <v>10404000</v>
      </c>
      <c r="X396" s="1090">
        <v>10612080</v>
      </c>
      <c r="Y396" s="1028">
        <f>U396+V396+W396+X396</f>
        <v>41216080</v>
      </c>
      <c r="Z396" s="2089"/>
      <c r="AA396" s="1029">
        <v>31116080</v>
      </c>
      <c r="AB396" s="2092"/>
      <c r="AC396" s="1030">
        <f t="shared" si="191"/>
        <v>0.75495000980199956</v>
      </c>
      <c r="AD396" s="1031"/>
      <c r="AE396" s="2092"/>
      <c r="AF396" s="1030">
        <f t="shared" si="192"/>
        <v>0</v>
      </c>
      <c r="AG396" s="1031"/>
      <c r="AH396" s="2089"/>
      <c r="AI396" s="1030">
        <f t="shared" si="193"/>
        <v>0</v>
      </c>
      <c r="AJ396" s="1031"/>
      <c r="AK396" s="2089"/>
      <c r="AL396" s="1031"/>
      <c r="AM396" s="1032">
        <f t="shared" si="196"/>
        <v>10100000</v>
      </c>
      <c r="AN396" s="2196"/>
      <c r="AP396" s="1012">
        <f t="shared" si="197"/>
        <v>41216080</v>
      </c>
      <c r="AQ396" s="287" t="str">
        <f t="shared" si="182"/>
        <v>Bien</v>
      </c>
      <c r="AR396" s="1153" t="s">
        <v>1248</v>
      </c>
    </row>
    <row r="397" spans="1:44" ht="56.25" customHeight="1" x14ac:dyDescent="0.25">
      <c r="A397" s="1855"/>
      <c r="B397" s="2094"/>
      <c r="C397" s="1771"/>
      <c r="D397" s="1771"/>
      <c r="E397" s="2082" t="s">
        <v>961</v>
      </c>
      <c r="F397" s="2083" t="s">
        <v>535</v>
      </c>
      <c r="G397" s="2083" t="s">
        <v>962</v>
      </c>
      <c r="H397" s="2084">
        <v>0.64600000000000002</v>
      </c>
      <c r="I397" s="2085">
        <v>0.9</v>
      </c>
      <c r="J397" s="2086" t="s">
        <v>527</v>
      </c>
      <c r="K397" s="1091" t="s">
        <v>573</v>
      </c>
      <c r="L397" s="1092" t="s">
        <v>578</v>
      </c>
      <c r="M397" s="1093">
        <v>0</v>
      </c>
      <c r="N397" s="1093">
        <v>1</v>
      </c>
      <c r="O397" s="1094">
        <v>0.1</v>
      </c>
      <c r="P397" s="1094">
        <v>0.5</v>
      </c>
      <c r="Q397" s="1094">
        <v>0.3</v>
      </c>
      <c r="R397" s="1095">
        <v>0.1</v>
      </c>
      <c r="S397" s="1031"/>
      <c r="T397" s="1031"/>
      <c r="U397" s="1034">
        <v>5000000</v>
      </c>
      <c r="V397" s="1034">
        <v>5000000</v>
      </c>
      <c r="W397" s="1034">
        <v>5000000</v>
      </c>
      <c r="X397" s="1034">
        <v>5000000</v>
      </c>
      <c r="Y397" s="1033">
        <f>SUM(U397:X397)</f>
        <v>20000000</v>
      </c>
      <c r="Z397" s="2087">
        <f>Y397+Y398+Y399</f>
        <v>1215266320</v>
      </c>
      <c r="AA397" s="1034">
        <v>20000000</v>
      </c>
      <c r="AB397" s="2090">
        <f>AA397+AA398+AA399</f>
        <v>803105520</v>
      </c>
      <c r="AC397" s="1030">
        <f t="shared" si="191"/>
        <v>1</v>
      </c>
      <c r="AD397" s="1035"/>
      <c r="AE397" s="2090">
        <f>AD397+AD398+AD399</f>
        <v>0</v>
      </c>
      <c r="AF397" s="1030">
        <f t="shared" si="192"/>
        <v>0</v>
      </c>
      <c r="AG397" s="1035"/>
      <c r="AH397" s="2087">
        <f>AG397+AG398+AG399</f>
        <v>0</v>
      </c>
      <c r="AI397" s="1030">
        <f t="shared" si="193"/>
        <v>0</v>
      </c>
      <c r="AJ397" s="1031"/>
      <c r="AK397" s="2087">
        <f>AJ397+AJ398+AJ399</f>
        <v>0</v>
      </c>
      <c r="AL397" s="1031"/>
      <c r="AM397" s="1032">
        <f t="shared" si="196"/>
        <v>0</v>
      </c>
      <c r="AN397" s="2197">
        <f>AM397+AM398+AM399</f>
        <v>412160800</v>
      </c>
      <c r="AP397" s="1012">
        <f t="shared" si="197"/>
        <v>20000000</v>
      </c>
      <c r="AQ397" s="287" t="str">
        <f t="shared" si="182"/>
        <v>Bien</v>
      </c>
      <c r="AR397" s="1153" t="s">
        <v>1249</v>
      </c>
    </row>
    <row r="398" spans="1:44" ht="51" x14ac:dyDescent="0.25">
      <c r="A398" s="1855"/>
      <c r="B398" s="2094"/>
      <c r="C398" s="1771"/>
      <c r="D398" s="1771"/>
      <c r="E398" s="2082"/>
      <c r="F398" s="2083"/>
      <c r="G398" s="2083"/>
      <c r="H398" s="2084"/>
      <c r="I398" s="2085"/>
      <c r="J398" s="2086"/>
      <c r="K398" s="1096" t="s">
        <v>528</v>
      </c>
      <c r="L398" s="1097" t="s">
        <v>516</v>
      </c>
      <c r="M398" s="1095">
        <v>0.1</v>
      </c>
      <c r="N398" s="1095">
        <v>1</v>
      </c>
      <c r="O398" s="1095">
        <v>0.1</v>
      </c>
      <c r="P398" s="1095">
        <v>0.3</v>
      </c>
      <c r="Q398" s="1095">
        <v>0.3</v>
      </c>
      <c r="R398" s="1095">
        <v>0.2</v>
      </c>
      <c r="S398" s="1031"/>
      <c r="T398" s="1031"/>
      <c r="U398" s="1034">
        <v>190000000</v>
      </c>
      <c r="V398" s="1034">
        <v>193800000</v>
      </c>
      <c r="W398" s="1034">
        <v>197676000</v>
      </c>
      <c r="X398" s="1034">
        <v>201629520</v>
      </c>
      <c r="Y398" s="1033">
        <f>SUM(U398:X398)</f>
        <v>783105520</v>
      </c>
      <c r="Z398" s="2088"/>
      <c r="AA398" s="1034">
        <v>783105520</v>
      </c>
      <c r="AB398" s="2091"/>
      <c r="AC398" s="1030">
        <f t="shared" si="191"/>
        <v>1</v>
      </c>
      <c r="AD398" s="1035"/>
      <c r="AE398" s="2091"/>
      <c r="AF398" s="1030">
        <f t="shared" si="192"/>
        <v>0</v>
      </c>
      <c r="AG398" s="1035"/>
      <c r="AH398" s="2088"/>
      <c r="AI398" s="1030">
        <f t="shared" si="193"/>
        <v>0</v>
      </c>
      <c r="AJ398" s="1031"/>
      <c r="AK398" s="2088"/>
      <c r="AL398" s="1031"/>
      <c r="AM398" s="1032">
        <f t="shared" si="196"/>
        <v>0</v>
      </c>
      <c r="AN398" s="2198"/>
      <c r="AP398" s="1012">
        <f t="shared" si="197"/>
        <v>783105520</v>
      </c>
      <c r="AQ398" s="287" t="str">
        <f t="shared" si="182"/>
        <v>Bien</v>
      </c>
      <c r="AR398" s="1153" t="s">
        <v>1249</v>
      </c>
    </row>
    <row r="399" spans="1:44" ht="76.5" x14ac:dyDescent="0.25">
      <c r="A399" s="1855"/>
      <c r="B399" s="2094"/>
      <c r="C399" s="1771"/>
      <c r="D399" s="1771"/>
      <c r="E399" s="2082"/>
      <c r="F399" s="2083"/>
      <c r="G399" s="2083"/>
      <c r="H399" s="2084"/>
      <c r="I399" s="2085"/>
      <c r="J399" s="1096" t="s">
        <v>536</v>
      </c>
      <c r="K399" s="1096" t="s">
        <v>537</v>
      </c>
      <c r="L399" s="1097" t="s">
        <v>963</v>
      </c>
      <c r="M399" s="1094">
        <v>0.2</v>
      </c>
      <c r="N399" s="1094">
        <v>1</v>
      </c>
      <c r="O399" s="1094">
        <v>0.05</v>
      </c>
      <c r="P399" s="1094">
        <v>0.15</v>
      </c>
      <c r="Q399" s="1094">
        <v>0.2</v>
      </c>
      <c r="R399" s="1094">
        <v>0.4</v>
      </c>
      <c r="S399" s="1031"/>
      <c r="T399" s="1031"/>
      <c r="U399" s="1036">
        <v>100000000</v>
      </c>
      <c r="V399" s="1036">
        <v>102000000</v>
      </c>
      <c r="W399" s="1036">
        <v>104040000</v>
      </c>
      <c r="X399" s="1036">
        <v>106120800</v>
      </c>
      <c r="Y399" s="1033">
        <f>SUM(U399:X399)</f>
        <v>412160800</v>
      </c>
      <c r="Z399" s="2089"/>
      <c r="AA399" s="1036">
        <v>0</v>
      </c>
      <c r="AB399" s="2092"/>
      <c r="AC399" s="1030">
        <f t="shared" si="191"/>
        <v>0</v>
      </c>
      <c r="AD399" s="1037"/>
      <c r="AE399" s="2092"/>
      <c r="AF399" s="1030">
        <f t="shared" si="192"/>
        <v>0</v>
      </c>
      <c r="AG399" s="1037"/>
      <c r="AH399" s="2089"/>
      <c r="AI399" s="1030">
        <f t="shared" si="193"/>
        <v>0</v>
      </c>
      <c r="AJ399" s="1031"/>
      <c r="AK399" s="2089"/>
      <c r="AL399" s="1031"/>
      <c r="AM399" s="1033">
        <v>412160800</v>
      </c>
      <c r="AN399" s="2196"/>
      <c r="AP399" s="1012">
        <f t="shared" si="197"/>
        <v>412160800</v>
      </c>
      <c r="AQ399" s="287" t="str">
        <f t="shared" si="182"/>
        <v>Bien</v>
      </c>
      <c r="AR399" s="1153" t="s">
        <v>1250</v>
      </c>
    </row>
    <row r="400" spans="1:44" ht="33" customHeight="1" x14ac:dyDescent="0.25">
      <c r="A400" s="1855"/>
      <c r="B400" s="2094"/>
      <c r="C400" s="1771"/>
      <c r="D400" s="1771"/>
      <c r="E400" s="1853" t="s">
        <v>561</v>
      </c>
      <c r="F400" s="1849" t="s">
        <v>722</v>
      </c>
      <c r="G400" s="1850" t="s">
        <v>991</v>
      </c>
      <c r="H400" s="1852">
        <v>0</v>
      </c>
      <c r="I400" s="1852">
        <v>12</v>
      </c>
      <c r="J400" s="1845" t="s">
        <v>562</v>
      </c>
      <c r="K400" s="440" t="s">
        <v>759</v>
      </c>
      <c r="L400" s="441" t="s">
        <v>743</v>
      </c>
      <c r="M400" s="609">
        <v>0</v>
      </c>
      <c r="N400" s="609">
        <v>2</v>
      </c>
      <c r="O400" s="609">
        <v>2</v>
      </c>
      <c r="P400" s="609">
        <v>0.25</v>
      </c>
      <c r="Q400" s="609">
        <v>0.3</v>
      </c>
      <c r="R400" s="609">
        <v>0.4</v>
      </c>
      <c r="S400" s="610"/>
      <c r="T400" s="611">
        <f t="shared" ref="T400:T401" si="198">+SUM(O400:R400)</f>
        <v>2.9499999999999997</v>
      </c>
      <c r="U400" s="612">
        <v>35449866.5</v>
      </c>
      <c r="V400" s="612"/>
      <c r="W400" s="612"/>
      <c r="X400" s="612"/>
      <c r="Y400" s="1038">
        <f>+U400+V400+W400+X400</f>
        <v>35449866.5</v>
      </c>
      <c r="Z400" s="1847">
        <f>+SUM(Y400:Y401)</f>
        <v>1152105461.696624</v>
      </c>
      <c r="AA400" s="1038">
        <f>+Y400</f>
        <v>35449866.5</v>
      </c>
      <c r="AB400" s="1848">
        <f>+SUM(AA400:AA401)</f>
        <v>35449866.5</v>
      </c>
      <c r="AC400" s="1039">
        <f t="shared" ref="AC400:AC401" si="199">+AA400/Y400</f>
        <v>1</v>
      </c>
      <c r="AD400" s="1040"/>
      <c r="AE400" s="1848">
        <f>+SUM(AD400:AD401)</f>
        <v>1116655595.196624</v>
      </c>
      <c r="AF400" s="1039">
        <f>+AD400/Y400</f>
        <v>0</v>
      </c>
      <c r="AG400" s="1040"/>
      <c r="AH400" s="1847">
        <f>+SUM(AG400:AG401)</f>
        <v>0</v>
      </c>
      <c r="AI400" s="1039">
        <f>+AG400/Y400</f>
        <v>0</v>
      </c>
      <c r="AJ400" s="1040"/>
      <c r="AK400" s="1847">
        <f>+SUM(AJ400:AJ401)</f>
        <v>0</v>
      </c>
      <c r="AL400" s="1039">
        <f>+AJ400/Y400</f>
        <v>0</v>
      </c>
      <c r="AM400" s="1040"/>
      <c r="AN400" s="1836">
        <f>+SUM(AM400:AM401)</f>
        <v>0</v>
      </c>
      <c r="AO400" s="186">
        <f>+AM400/Y400</f>
        <v>0</v>
      </c>
      <c r="AP400" s="1013">
        <f>+AA400+AD400+AG400+AJ400+AM400</f>
        <v>35449866.5</v>
      </c>
      <c r="AQ400" s="18" t="str">
        <f t="shared" ref="AQ400:AQ401" si="200">+IF(Y400=AP400,"Bien","Error")</f>
        <v>Bien</v>
      </c>
      <c r="AR400" s="1150" t="s">
        <v>1251</v>
      </c>
    </row>
    <row r="401" spans="1:44" ht="51" x14ac:dyDescent="0.25">
      <c r="A401" s="1856"/>
      <c r="B401" s="2095"/>
      <c r="C401" s="1771"/>
      <c r="D401" s="1771"/>
      <c r="E401" s="1853"/>
      <c r="F401" s="1849"/>
      <c r="G401" s="1851"/>
      <c r="H401" s="1852"/>
      <c r="I401" s="1852"/>
      <c r="J401" s="1846"/>
      <c r="K401" s="440" t="s">
        <v>742</v>
      </c>
      <c r="L401" s="441" t="s">
        <v>741</v>
      </c>
      <c r="M401" s="609">
        <v>0</v>
      </c>
      <c r="N401" s="609">
        <v>40</v>
      </c>
      <c r="O401" s="609">
        <v>10</v>
      </c>
      <c r="P401" s="609">
        <v>10</v>
      </c>
      <c r="Q401" s="609">
        <v>10</v>
      </c>
      <c r="R401" s="609">
        <v>10</v>
      </c>
      <c r="S401" s="610"/>
      <c r="T401" s="611">
        <f t="shared" si="198"/>
        <v>40</v>
      </c>
      <c r="U401" s="612">
        <v>235449866.5</v>
      </c>
      <c r="V401" s="612">
        <f>140972359.825*2</f>
        <v>281944719.64999998</v>
      </c>
      <c r="W401" s="612">
        <f>146770977.81625*2</f>
        <v>293541955.63249999</v>
      </c>
      <c r="X401" s="612">
        <f>152859526.707062*2</f>
        <v>305719053.41412401</v>
      </c>
      <c r="Y401" s="1038">
        <f>+U401+V401+W401+X401</f>
        <v>1116655595.196624</v>
      </c>
      <c r="Z401" s="1847"/>
      <c r="AA401" s="1041"/>
      <c r="AB401" s="1848"/>
      <c r="AC401" s="1039">
        <f t="shared" si="199"/>
        <v>0</v>
      </c>
      <c r="AD401" s="1038">
        <f>+Y401</f>
        <v>1116655595.196624</v>
      </c>
      <c r="AE401" s="1848"/>
      <c r="AF401" s="1039">
        <f>+AD401/Y401</f>
        <v>1</v>
      </c>
      <c r="AG401" s="1040"/>
      <c r="AH401" s="1847"/>
      <c r="AI401" s="1039">
        <f>+AG401/Y401</f>
        <v>0</v>
      </c>
      <c r="AJ401" s="1040"/>
      <c r="AK401" s="1847"/>
      <c r="AL401" s="1039">
        <f>+AJ401/Y401</f>
        <v>0</v>
      </c>
      <c r="AM401" s="1040"/>
      <c r="AN401" s="1836"/>
      <c r="AO401" s="186">
        <f>+AM401/Y401</f>
        <v>0</v>
      </c>
      <c r="AP401" s="1014">
        <f>+AA401+AD401+AG401+AJ401+AM401</f>
        <v>1116655595.196624</v>
      </c>
      <c r="AQ401" s="18" t="str">
        <f t="shared" si="200"/>
        <v>Bien</v>
      </c>
      <c r="AR401" s="1150" t="s">
        <v>1251</v>
      </c>
    </row>
    <row r="402" spans="1:44" x14ac:dyDescent="0.25">
      <c r="A402" s="11"/>
      <c r="B402" s="11"/>
      <c r="C402" s="1108"/>
      <c r="D402" s="1108"/>
      <c r="E402" s="11"/>
      <c r="G402" s="11"/>
      <c r="H402" s="11"/>
      <c r="I402" s="11"/>
      <c r="J402" s="11"/>
      <c r="K402" s="11"/>
      <c r="L402" s="11"/>
      <c r="M402" s="11">
        <v>0</v>
      </c>
      <c r="N402" s="11">
        <v>2</v>
      </c>
      <c r="O402" s="11"/>
      <c r="P402" s="11"/>
      <c r="Q402" s="11"/>
      <c r="R402" s="11"/>
      <c r="S402" s="11"/>
      <c r="T402" s="11"/>
      <c r="U402" s="971">
        <f t="shared" ref="U402:AA402" si="201">SUM(U8:U401)</f>
        <v>282512721643.56738</v>
      </c>
      <c r="V402" s="971">
        <f t="shared" si="201"/>
        <v>596571238698.47253</v>
      </c>
      <c r="W402" s="971">
        <f t="shared" si="201"/>
        <v>952829439376.64331</v>
      </c>
      <c r="X402" s="971">
        <f t="shared" si="201"/>
        <v>935131019484.98987</v>
      </c>
      <c r="Y402" s="187">
        <f t="shared" si="201"/>
        <v>2767044419201.6743</v>
      </c>
      <c r="Z402" s="187">
        <f t="shared" si="201"/>
        <v>2767044419201.6738</v>
      </c>
      <c r="AA402" s="187">
        <f t="shared" si="201"/>
        <v>397593710971.64569</v>
      </c>
      <c r="AB402" s="1055">
        <f t="shared" ref="AB402:AL402" si="202">SUM(AB8:AB401)</f>
        <v>397593710971.64569</v>
      </c>
      <c r="AC402" s="187" t="e">
        <f t="shared" si="202"/>
        <v>#DIV/0!</v>
      </c>
      <c r="AD402" s="187">
        <f>SUM(AD8:AD401)</f>
        <v>701000367880.35059</v>
      </c>
      <c r="AE402" s="1055">
        <f t="shared" si="202"/>
        <v>701000367880.35034</v>
      </c>
      <c r="AF402" s="187" t="e">
        <f t="shared" si="202"/>
        <v>#DIV/0!</v>
      </c>
      <c r="AG402" s="187">
        <f>SUM(AG8:AG401)</f>
        <v>382750851467</v>
      </c>
      <c r="AH402" s="187">
        <f t="shared" si="202"/>
        <v>382750851467</v>
      </c>
      <c r="AI402" s="187" t="e">
        <f t="shared" si="202"/>
        <v>#DIV/0!</v>
      </c>
      <c r="AJ402" s="187">
        <f>SUM(AJ8:AJ401)</f>
        <v>170117246787.9664</v>
      </c>
      <c r="AK402" s="187">
        <f t="shared" si="202"/>
        <v>170117246787.9664</v>
      </c>
      <c r="AL402" s="187" t="e">
        <f t="shared" si="202"/>
        <v>#DIV/0!</v>
      </c>
      <c r="AM402" s="187">
        <f>SUM(AM8:AM401)</f>
        <v>1115582242094.8701</v>
      </c>
      <c r="AN402" s="187">
        <f>SUM(AN49:AN401)</f>
        <v>1115498569554.8704</v>
      </c>
      <c r="AO402" s="187" t="e">
        <f>SUM(AO49:AO401)</f>
        <v>#DIV/0!</v>
      </c>
      <c r="AP402" s="187">
        <f>SUM(AP8:AP401)</f>
        <v>2767005227653.9814</v>
      </c>
      <c r="AQ402" s="11"/>
      <c r="AR402" s="11"/>
    </row>
    <row r="403" spans="1:44" ht="13.5" customHeight="1" x14ac:dyDescent="0.25">
      <c r="K403" s="282"/>
      <c r="L403" s="283"/>
      <c r="Y403" s="10">
        <f>+Y402/1000000</f>
        <v>2767044.4192016744</v>
      </c>
      <c r="Z403" s="10">
        <f>+Z402/1000000</f>
        <v>2767044.4192016739</v>
      </c>
      <c r="AA403" s="10">
        <f>+AA402/1000000</f>
        <v>397593.71097164572</v>
      </c>
      <c r="AB403" s="1056"/>
      <c r="AC403" s="10"/>
      <c r="AD403" s="10">
        <f>+AD402/1000000</f>
        <v>701000.36788035056</v>
      </c>
      <c r="AE403" s="1056"/>
      <c r="AF403" s="10"/>
      <c r="AG403" s="10">
        <f>+AG402/1000000</f>
        <v>382750.85146699997</v>
      </c>
      <c r="AH403" s="10"/>
      <c r="AI403" s="10"/>
      <c r="AJ403" s="10">
        <f>+AJ402/1000000</f>
        <v>170117.2467879664</v>
      </c>
      <c r="AK403" s="10"/>
      <c r="AL403" s="10"/>
      <c r="AM403" s="10">
        <f>+AM402/1000000</f>
        <v>1115582.2420948702</v>
      </c>
      <c r="AN403" s="10"/>
      <c r="AO403" s="10"/>
      <c r="AP403" s="10">
        <f>+AP402/1000000</f>
        <v>2767005.2276539817</v>
      </c>
    </row>
    <row r="405" spans="1:44" x14ac:dyDescent="0.25">
      <c r="AA405" s="10"/>
    </row>
  </sheetData>
  <sheetProtection algorithmName="SHA-512" hashValue="nfiP6zaCj0Wv6veQIhDUgprie8PJh087I45gfjnhDMQP1AWkzK6WQGGqz7VvACojxt8VwY9IYJdjvLI35z7rqw==" saltValue="7NQ29v/eSERj0SgxO68pzA==" spinCount="100000" sheet="1" objects="1" scenarios="1"/>
  <autoFilter ref="A7:EF403"/>
  <mergeCells count="1183">
    <mergeCell ref="D350:D365"/>
    <mergeCell ref="C350:C365"/>
    <mergeCell ref="D392:D394"/>
    <mergeCell ref="C392:C394"/>
    <mergeCell ref="C395:C401"/>
    <mergeCell ref="D395:D401"/>
    <mergeCell ref="C366:C379"/>
    <mergeCell ref="D366:D379"/>
    <mergeCell ref="D380:D382"/>
    <mergeCell ref="C380:C382"/>
    <mergeCell ref="C383:C391"/>
    <mergeCell ref="D383:D391"/>
    <mergeCell ref="C302:C307"/>
    <mergeCell ref="D302:D307"/>
    <mergeCell ref="C308:C315"/>
    <mergeCell ref="D308:D315"/>
    <mergeCell ref="D269:D270"/>
    <mergeCell ref="C269:C270"/>
    <mergeCell ref="C316:C328"/>
    <mergeCell ref="D316:D328"/>
    <mergeCell ref="D332:D335"/>
    <mergeCell ref="C332:C335"/>
    <mergeCell ref="C336:C343"/>
    <mergeCell ref="D336:D343"/>
    <mergeCell ref="D345:D348"/>
    <mergeCell ref="C345:C348"/>
    <mergeCell ref="C288:C289"/>
    <mergeCell ref="D288:D289"/>
    <mergeCell ref="D290:D293"/>
    <mergeCell ref="C290:C293"/>
    <mergeCell ref="D219:D222"/>
    <mergeCell ref="C211:C212"/>
    <mergeCell ref="D211:D212"/>
    <mergeCell ref="C214:C218"/>
    <mergeCell ref="D214:D218"/>
    <mergeCell ref="C237:C238"/>
    <mergeCell ref="D237:D238"/>
    <mergeCell ref="D223:D229"/>
    <mergeCell ref="C223:C229"/>
    <mergeCell ref="C230:C232"/>
    <mergeCell ref="D230:D232"/>
    <mergeCell ref="C233:C236"/>
    <mergeCell ref="D233:D236"/>
    <mergeCell ref="C257:C263"/>
    <mergeCell ref="D257:D263"/>
    <mergeCell ref="D180:D199"/>
    <mergeCell ref="C200:C210"/>
    <mergeCell ref="D200:D210"/>
    <mergeCell ref="AB39:AB45"/>
    <mergeCell ref="AB46:AB48"/>
    <mergeCell ref="AE8:AE38"/>
    <mergeCell ref="AE39:AE45"/>
    <mergeCell ref="I245:I249"/>
    <mergeCell ref="C265:C266"/>
    <mergeCell ref="D265:D266"/>
    <mergeCell ref="C271:C273"/>
    <mergeCell ref="D271:D273"/>
    <mergeCell ref="C274:C278"/>
    <mergeCell ref="D274:D278"/>
    <mergeCell ref="C279:C287"/>
    <mergeCell ref="D279:D287"/>
    <mergeCell ref="J29:J30"/>
    <mergeCell ref="F245:F249"/>
    <mergeCell ref="G245:G249"/>
    <mergeCell ref="H245:H249"/>
    <mergeCell ref="AE219:AE222"/>
    <mergeCell ref="J113:J114"/>
    <mergeCell ref="E113:E114"/>
    <mergeCell ref="AE113:AE114"/>
    <mergeCell ref="AE271:AE273"/>
    <mergeCell ref="Z203:Z210"/>
    <mergeCell ref="AB203:AB210"/>
    <mergeCell ref="AE203:AE210"/>
    <mergeCell ref="Z164:Z166"/>
    <mergeCell ref="AB164:AB166"/>
    <mergeCell ref="AE164:AE166"/>
    <mergeCell ref="I177:I179"/>
    <mergeCell ref="J177:J179"/>
    <mergeCell ref="T75:T77"/>
    <mergeCell ref="C219:C222"/>
    <mergeCell ref="AE233:AE238"/>
    <mergeCell ref="AH233:AH238"/>
    <mergeCell ref="AK233:AK238"/>
    <mergeCell ref="J288:J289"/>
    <mergeCell ref="Z288:Z289"/>
    <mergeCell ref="AB288:AB289"/>
    <mergeCell ref="AB8:AB38"/>
    <mergeCell ref="AE227:AE229"/>
    <mergeCell ref="C8:C48"/>
    <mergeCell ref="D8:D48"/>
    <mergeCell ref="C49:C105"/>
    <mergeCell ref="D49:D105"/>
    <mergeCell ref="C106:C109"/>
    <mergeCell ref="D106:D109"/>
    <mergeCell ref="C110:C114"/>
    <mergeCell ref="D110:D114"/>
    <mergeCell ref="C115:C117"/>
    <mergeCell ref="D115:D117"/>
    <mergeCell ref="C119:C126"/>
    <mergeCell ref="D119:D126"/>
    <mergeCell ref="C127:C141"/>
    <mergeCell ref="D127:D141"/>
    <mergeCell ref="C143:C153"/>
    <mergeCell ref="D143:D153"/>
    <mergeCell ref="C155:C160"/>
    <mergeCell ref="D155:D160"/>
    <mergeCell ref="C162:C166"/>
    <mergeCell ref="D162:D166"/>
    <mergeCell ref="C167:C179"/>
    <mergeCell ref="D167:D179"/>
    <mergeCell ref="C180:C199"/>
    <mergeCell ref="AE223:AE226"/>
    <mergeCell ref="AN395:AN396"/>
    <mergeCell ref="AN397:AN399"/>
    <mergeCell ref="Z279:Z287"/>
    <mergeCell ref="AB279:AB287"/>
    <mergeCell ref="AE279:AE287"/>
    <mergeCell ref="AH279:AH287"/>
    <mergeCell ref="AK279:AK287"/>
    <mergeCell ref="AN279:AN287"/>
    <mergeCell ref="J259:J261"/>
    <mergeCell ref="K259:K261"/>
    <mergeCell ref="Z395:Z396"/>
    <mergeCell ref="AB395:AB396"/>
    <mergeCell ref="AE395:AE396"/>
    <mergeCell ref="AH395:AH396"/>
    <mergeCell ref="AK395:AK396"/>
    <mergeCell ref="AE366:AE394"/>
    <mergeCell ref="AH366:AH394"/>
    <mergeCell ref="AK366:AK394"/>
    <mergeCell ref="AB366:AB394"/>
    <mergeCell ref="J357:J358"/>
    <mergeCell ref="K357:K358"/>
    <mergeCell ref="L357:L358"/>
    <mergeCell ref="M357:M358"/>
    <mergeCell ref="N357:N358"/>
    <mergeCell ref="O357:O358"/>
    <mergeCell ref="Z363:Z365"/>
    <mergeCell ref="AH345:AH349"/>
    <mergeCell ref="AK345:AK349"/>
    <mergeCell ref="AN351:AN353"/>
    <mergeCell ref="AN345:AN349"/>
    <mergeCell ref="AE302:AE307"/>
    <mergeCell ref="AH322:AH328"/>
    <mergeCell ref="AE319:AE321"/>
    <mergeCell ref="AE322:AE328"/>
    <mergeCell ref="AH319:AH321"/>
    <mergeCell ref="C240:C252"/>
    <mergeCell ref="D240:D252"/>
    <mergeCell ref="D254:D255"/>
    <mergeCell ref="C254:C255"/>
    <mergeCell ref="AN319:AN321"/>
    <mergeCell ref="AN322:AN328"/>
    <mergeCell ref="AH257:AH261"/>
    <mergeCell ref="AK257:AK261"/>
    <mergeCell ref="AK264:AK268"/>
    <mergeCell ref="F259:F261"/>
    <mergeCell ref="G259:G261"/>
    <mergeCell ref="H259:H261"/>
    <mergeCell ref="I259:I261"/>
    <mergeCell ref="AN366:AN394"/>
    <mergeCell ref="AK319:AK321"/>
    <mergeCell ref="J262:J263"/>
    <mergeCell ref="F262:F263"/>
    <mergeCell ref="G262:G263"/>
    <mergeCell ref="H262:H263"/>
    <mergeCell ref="I262:I263"/>
    <mergeCell ref="E257:E263"/>
    <mergeCell ref="Z257:Z263"/>
    <mergeCell ref="AB257:AB263"/>
    <mergeCell ref="AE257:AE263"/>
    <mergeCell ref="AH269:AH270"/>
    <mergeCell ref="AK269:AK270"/>
    <mergeCell ref="AK322:AK328"/>
    <mergeCell ref="AB250:AB252"/>
    <mergeCell ref="AE250:AE252"/>
    <mergeCell ref="AK243:AK244"/>
    <mergeCell ref="AE245:AE248"/>
    <mergeCell ref="AH245:AH248"/>
    <mergeCell ref="AK245:AK248"/>
    <mergeCell ref="AN233:AN238"/>
    <mergeCell ref="AB230:AB232"/>
    <mergeCell ref="AE230:AE232"/>
    <mergeCell ref="AH230:AH232"/>
    <mergeCell ref="AK230:AK232"/>
    <mergeCell ref="AN230:AN232"/>
    <mergeCell ref="AD224:AD225"/>
    <mergeCell ref="AF224:AF225"/>
    <mergeCell ref="AG224:AG225"/>
    <mergeCell ref="AI224:AI225"/>
    <mergeCell ref="A240:A278"/>
    <mergeCell ref="Z243:Z244"/>
    <mergeCell ref="Z250:Z252"/>
    <mergeCell ref="Z254:Z255"/>
    <mergeCell ref="Z264:Z268"/>
    <mergeCell ref="Z269:Z270"/>
    <mergeCell ref="AN240:AN242"/>
    <mergeCell ref="AN243:AN244"/>
    <mergeCell ref="AN245:AN248"/>
    <mergeCell ref="AN250:AN252"/>
    <mergeCell ref="AN254:AN255"/>
    <mergeCell ref="AN257:AN261"/>
    <mergeCell ref="AN264:AN268"/>
    <mergeCell ref="AN269:AN270"/>
    <mergeCell ref="AH223:AH226"/>
    <mergeCell ref="AK223:AK226"/>
    <mergeCell ref="AH250:AH252"/>
    <mergeCell ref="AK250:AK252"/>
    <mergeCell ref="E269:E270"/>
    <mergeCell ref="F269:F270"/>
    <mergeCell ref="G269:G270"/>
    <mergeCell ref="H269:H270"/>
    <mergeCell ref="I269:I270"/>
    <mergeCell ref="AO269:AO270"/>
    <mergeCell ref="AB264:AB268"/>
    <mergeCell ref="AE264:AE268"/>
    <mergeCell ref="AH264:AH268"/>
    <mergeCell ref="AB269:AB270"/>
    <mergeCell ref="AE269:AE270"/>
    <mergeCell ref="J254:J255"/>
    <mergeCell ref="AO254:AO255"/>
    <mergeCell ref="AO257:AO261"/>
    <mergeCell ref="AE46:AE48"/>
    <mergeCell ref="AH8:AH38"/>
    <mergeCell ref="AH39:AH45"/>
    <mergeCell ref="AH46:AH48"/>
    <mergeCell ref="AK8:AK38"/>
    <mergeCell ref="AK39:AK45"/>
    <mergeCell ref="AK46:AK48"/>
    <mergeCell ref="AN8:AN38"/>
    <mergeCell ref="AN39:AN45"/>
    <mergeCell ref="AN46:AN48"/>
    <mergeCell ref="AB254:AB255"/>
    <mergeCell ref="AE254:AE255"/>
    <mergeCell ref="AH254:AH255"/>
    <mergeCell ref="AK254:AK255"/>
    <mergeCell ref="AN113:AN114"/>
    <mergeCell ref="AB243:AB244"/>
    <mergeCell ref="AE243:AE244"/>
    <mergeCell ref="AH243:AH244"/>
    <mergeCell ref="AO224:AO225"/>
    <mergeCell ref="AH227:AH229"/>
    <mergeCell ref="AK227:AK229"/>
    <mergeCell ref="AN227:AN229"/>
    <mergeCell ref="H230:H232"/>
    <mergeCell ref="I230:I232"/>
    <mergeCell ref="J230:J232"/>
    <mergeCell ref="Z230:Z232"/>
    <mergeCell ref="K224:K225"/>
    <mergeCell ref="U224:U225"/>
    <mergeCell ref="V224:V225"/>
    <mergeCell ref="W224:W225"/>
    <mergeCell ref="X224:X225"/>
    <mergeCell ref="Y224:Y225"/>
    <mergeCell ref="AA224:AA225"/>
    <mergeCell ref="AC224:AC225"/>
    <mergeCell ref="B240:B270"/>
    <mergeCell ref="AO240:AO242"/>
    <mergeCell ref="E243:E244"/>
    <mergeCell ref="F243:F244"/>
    <mergeCell ref="G243:G244"/>
    <mergeCell ref="H243:H244"/>
    <mergeCell ref="I243:I244"/>
    <mergeCell ref="AO243:AO244"/>
    <mergeCell ref="AH240:AH242"/>
    <mergeCell ref="AK240:AK242"/>
    <mergeCell ref="E264:E268"/>
    <mergeCell ref="F264:F268"/>
    <mergeCell ref="G264:G268"/>
    <mergeCell ref="H264:H268"/>
    <mergeCell ref="I264:I268"/>
    <mergeCell ref="J264:J268"/>
    <mergeCell ref="H380:H386"/>
    <mergeCell ref="I380:I386"/>
    <mergeCell ref="J380:J386"/>
    <mergeCell ref="Z8:Z38"/>
    <mergeCell ref="Z39:Z45"/>
    <mergeCell ref="Z46:Z48"/>
    <mergeCell ref="Z113:Z114"/>
    <mergeCell ref="AB113:AB114"/>
    <mergeCell ref="G233:G236"/>
    <mergeCell ref="H233:H236"/>
    <mergeCell ref="I233:I236"/>
    <mergeCell ref="J233:J236"/>
    <mergeCell ref="Z233:Z238"/>
    <mergeCell ref="AB233:AB238"/>
    <mergeCell ref="F237:F238"/>
    <mergeCell ref="G237:G238"/>
    <mergeCell ref="H237:H238"/>
    <mergeCell ref="I237:I238"/>
    <mergeCell ref="J237:J238"/>
    <mergeCell ref="AB319:AB321"/>
    <mergeCell ref="AB322:AB328"/>
    <mergeCell ref="F29:F30"/>
    <mergeCell ref="G29:G30"/>
    <mergeCell ref="H29:H30"/>
    <mergeCell ref="I29:I30"/>
    <mergeCell ref="AB110:AB112"/>
    <mergeCell ref="Z219:Z222"/>
    <mergeCell ref="AB219:AB222"/>
    <mergeCell ref="F113:F114"/>
    <mergeCell ref="G113:G114"/>
    <mergeCell ref="H113:H114"/>
    <mergeCell ref="I113:I114"/>
    <mergeCell ref="F387:F391"/>
    <mergeCell ref="E397:E399"/>
    <mergeCell ref="F397:F399"/>
    <mergeCell ref="G397:G399"/>
    <mergeCell ref="H397:H399"/>
    <mergeCell ref="I397:I399"/>
    <mergeCell ref="J397:J398"/>
    <mergeCell ref="Z397:Z399"/>
    <mergeCell ref="AB397:AB399"/>
    <mergeCell ref="AE397:AE399"/>
    <mergeCell ref="AH397:AH399"/>
    <mergeCell ref="AK397:AK399"/>
    <mergeCell ref="B366:B401"/>
    <mergeCell ref="G387:G391"/>
    <mergeCell ref="H387:H391"/>
    <mergeCell ref="I387:I391"/>
    <mergeCell ref="J387:J391"/>
    <mergeCell ref="F392:F394"/>
    <mergeCell ref="G392:G394"/>
    <mergeCell ref="H392:H394"/>
    <mergeCell ref="I392:I394"/>
    <mergeCell ref="E395:E396"/>
    <mergeCell ref="F395:F396"/>
    <mergeCell ref="G395:G396"/>
    <mergeCell ref="H395:H396"/>
    <mergeCell ref="I395:I396"/>
    <mergeCell ref="E366:E394"/>
    <mergeCell ref="Z366:Z394"/>
    <mergeCell ref="J372:J374"/>
    <mergeCell ref="J375:J378"/>
    <mergeCell ref="F380:F386"/>
    <mergeCell ref="G380:G386"/>
    <mergeCell ref="A316:A344"/>
    <mergeCell ref="A8:A239"/>
    <mergeCell ref="B167:B179"/>
    <mergeCell ref="E167:E179"/>
    <mergeCell ref="J167:J172"/>
    <mergeCell ref="Z167:Z179"/>
    <mergeCell ref="AB167:AB179"/>
    <mergeCell ref="F173:F176"/>
    <mergeCell ref="G173:G176"/>
    <mergeCell ref="H173:H176"/>
    <mergeCell ref="I173:I176"/>
    <mergeCell ref="J173:J176"/>
    <mergeCell ref="E227:E229"/>
    <mergeCell ref="F227:F229"/>
    <mergeCell ref="G227:G229"/>
    <mergeCell ref="H227:H229"/>
    <mergeCell ref="I227:I229"/>
    <mergeCell ref="J227:J229"/>
    <mergeCell ref="Z227:Z229"/>
    <mergeCell ref="AB227:AB229"/>
    <mergeCell ref="Z155:Z156"/>
    <mergeCell ref="AB155:AB156"/>
    <mergeCell ref="Z127:Z129"/>
    <mergeCell ref="AB127:AB129"/>
    <mergeCell ref="F20:F24"/>
    <mergeCell ref="E230:E232"/>
    <mergeCell ref="F230:F232"/>
    <mergeCell ref="G230:G232"/>
    <mergeCell ref="G219:G222"/>
    <mergeCell ref="H219:H222"/>
    <mergeCell ref="I219:I222"/>
    <mergeCell ref="J219:J222"/>
    <mergeCell ref="AJ224:AJ225"/>
    <mergeCell ref="AL224:AL225"/>
    <mergeCell ref="AM224:AM225"/>
    <mergeCell ref="G223:G226"/>
    <mergeCell ref="H223:H226"/>
    <mergeCell ref="I223:I226"/>
    <mergeCell ref="J223:J226"/>
    <mergeCell ref="AN223:AN226"/>
    <mergeCell ref="Z223:Z226"/>
    <mergeCell ref="AB223:AB226"/>
    <mergeCell ref="AO157:AO158"/>
    <mergeCell ref="B143:B166"/>
    <mergeCell ref="B211:B222"/>
    <mergeCell ref="E211:E218"/>
    <mergeCell ref="F211:F213"/>
    <mergeCell ref="G211:G213"/>
    <mergeCell ref="H211:H213"/>
    <mergeCell ref="I211:I213"/>
    <mergeCell ref="J211:J213"/>
    <mergeCell ref="Z211:Z218"/>
    <mergeCell ref="AB211:AB218"/>
    <mergeCell ref="AE211:AE218"/>
    <mergeCell ref="AH211:AH218"/>
    <mergeCell ref="AK211:AK218"/>
    <mergeCell ref="AN211:AN218"/>
    <mergeCell ref="F214:F218"/>
    <mergeCell ref="G214:G218"/>
    <mergeCell ref="H214:H218"/>
    <mergeCell ref="I214:I218"/>
    <mergeCell ref="J214:J218"/>
    <mergeCell ref="E219:E222"/>
    <mergeCell ref="F219:F222"/>
    <mergeCell ref="AH219:AH222"/>
    <mergeCell ref="AK219:AK222"/>
    <mergeCell ref="AN219:AN222"/>
    <mergeCell ref="AE155:AE156"/>
    <mergeCell ref="AH155:AH156"/>
    <mergeCell ref="AK155:AK156"/>
    <mergeCell ref="AN155:AN156"/>
    <mergeCell ref="E157:E160"/>
    <mergeCell ref="F157:F160"/>
    <mergeCell ref="G157:G160"/>
    <mergeCell ref="H157:H160"/>
    <mergeCell ref="I157:I160"/>
    <mergeCell ref="J157:J160"/>
    <mergeCell ref="Z157:Z160"/>
    <mergeCell ref="AB157:AB160"/>
    <mergeCell ref="AC157:AC158"/>
    <mergeCell ref="AE157:AE160"/>
    <mergeCell ref="AF157:AF158"/>
    <mergeCell ref="AH157:AH160"/>
    <mergeCell ref="AI157:AI158"/>
    <mergeCell ref="AK157:AK160"/>
    <mergeCell ref="AL157:AL158"/>
    <mergeCell ref="AN157:AN160"/>
    <mergeCell ref="Z200:Z202"/>
    <mergeCell ref="AB200:AB202"/>
    <mergeCell ref="AN203:AN210"/>
    <mergeCell ref="F204:F209"/>
    <mergeCell ref="G204:G209"/>
    <mergeCell ref="H204:H209"/>
    <mergeCell ref="I204:I209"/>
    <mergeCell ref="J205:J209"/>
    <mergeCell ref="E203:E210"/>
    <mergeCell ref="AN143:AN150"/>
    <mergeCell ref="J146:J150"/>
    <mergeCell ref="F148:F150"/>
    <mergeCell ref="G148:G150"/>
    <mergeCell ref="H148:H150"/>
    <mergeCell ref="I148:I150"/>
    <mergeCell ref="E151:E153"/>
    <mergeCell ref="F151:F153"/>
    <mergeCell ref="G151:G153"/>
    <mergeCell ref="H151:H153"/>
    <mergeCell ref="I151:I153"/>
    <mergeCell ref="J151:J153"/>
    <mergeCell ref="Z151:Z153"/>
    <mergeCell ref="AB151:AB153"/>
    <mergeCell ref="AE151:AE153"/>
    <mergeCell ref="AH151:AH153"/>
    <mergeCell ref="AK151:AK153"/>
    <mergeCell ref="AN151:AN153"/>
    <mergeCell ref="E143:E150"/>
    <mergeCell ref="F143:F145"/>
    <mergeCell ref="G143:G145"/>
    <mergeCell ref="H143:H145"/>
    <mergeCell ref="I143:I145"/>
    <mergeCell ref="J143:J145"/>
    <mergeCell ref="Z143:Z150"/>
    <mergeCell ref="AB143:AB150"/>
    <mergeCell ref="AE143:AE150"/>
    <mergeCell ref="AH143:AH150"/>
    <mergeCell ref="AK143:AK150"/>
    <mergeCell ref="AH113:AH114"/>
    <mergeCell ref="AK113:AK114"/>
    <mergeCell ref="F36:F38"/>
    <mergeCell ref="G36:G38"/>
    <mergeCell ref="H36:H38"/>
    <mergeCell ref="I36:I38"/>
    <mergeCell ref="J36:J38"/>
    <mergeCell ref="E39:E45"/>
    <mergeCell ref="F40:F43"/>
    <mergeCell ref="G40:G43"/>
    <mergeCell ref="H40:H43"/>
    <mergeCell ref="I40:I43"/>
    <mergeCell ref="J40:J43"/>
    <mergeCell ref="E46:E48"/>
    <mergeCell ref="F46:F48"/>
    <mergeCell ref="G46:G48"/>
    <mergeCell ref="H46:H48"/>
    <mergeCell ref="I46:I48"/>
    <mergeCell ref="J46:J48"/>
    <mergeCell ref="Y86:Y87"/>
    <mergeCell ref="AA86:AA87"/>
    <mergeCell ref="AC86:AC87"/>
    <mergeCell ref="Y90:Y91"/>
    <mergeCell ref="AD90:AD91"/>
    <mergeCell ref="AD86:AD87"/>
    <mergeCell ref="I84:I85"/>
    <mergeCell ref="E49:E105"/>
    <mergeCell ref="I78:I79"/>
    <mergeCell ref="O75:O77"/>
    <mergeCell ref="P75:P77"/>
    <mergeCell ref="Q75:Q77"/>
    <mergeCell ref="R75:R77"/>
    <mergeCell ref="B8:B48"/>
    <mergeCell ref="E8:E38"/>
    <mergeCell ref="F8:F9"/>
    <mergeCell ref="G8:G9"/>
    <mergeCell ref="H8:H9"/>
    <mergeCell ref="I8:I9"/>
    <mergeCell ref="J8:J9"/>
    <mergeCell ref="F11:F14"/>
    <mergeCell ref="G11:G14"/>
    <mergeCell ref="H11:H14"/>
    <mergeCell ref="I11:I14"/>
    <mergeCell ref="J11:J14"/>
    <mergeCell ref="F16:F19"/>
    <mergeCell ref="G16:G19"/>
    <mergeCell ref="H16:H19"/>
    <mergeCell ref="I16:I19"/>
    <mergeCell ref="J16:J19"/>
    <mergeCell ref="G20:G24"/>
    <mergeCell ref="H20:H24"/>
    <mergeCell ref="I20:I24"/>
    <mergeCell ref="J20:J24"/>
    <mergeCell ref="F25:F28"/>
    <mergeCell ref="G25:G28"/>
    <mergeCell ref="H25:H28"/>
    <mergeCell ref="I25:I28"/>
    <mergeCell ref="J25:J27"/>
    <mergeCell ref="Z354:Z358"/>
    <mergeCell ref="AB354:AB358"/>
    <mergeCell ref="AE354:AE358"/>
    <mergeCell ref="AH354:AH358"/>
    <mergeCell ref="AK354:AK358"/>
    <mergeCell ref="AN354:AN358"/>
    <mergeCell ref="B49:B114"/>
    <mergeCell ref="E279:E287"/>
    <mergeCell ref="F285:F287"/>
    <mergeCell ref="G285:G287"/>
    <mergeCell ref="H285:H287"/>
    <mergeCell ref="I285:I287"/>
    <mergeCell ref="B279:B287"/>
    <mergeCell ref="J279:J287"/>
    <mergeCell ref="E155:E156"/>
    <mergeCell ref="F155:F156"/>
    <mergeCell ref="G155:G156"/>
    <mergeCell ref="H155:H156"/>
    <mergeCell ref="I155:I156"/>
    <mergeCell ref="J155:J156"/>
    <mergeCell ref="B223:B239"/>
    <mergeCell ref="E223:E226"/>
    <mergeCell ref="F223:F226"/>
    <mergeCell ref="E233:E238"/>
    <mergeCell ref="F233:F236"/>
    <mergeCell ref="B200:B210"/>
    <mergeCell ref="E200:E202"/>
    <mergeCell ref="J200:J202"/>
    <mergeCell ref="F322:F328"/>
    <mergeCell ref="G322:G328"/>
    <mergeCell ref="H322:H328"/>
    <mergeCell ref="B115:B126"/>
    <mergeCell ref="F347:F348"/>
    <mergeCell ref="J345:J346"/>
    <mergeCell ref="Z345:Z349"/>
    <mergeCell ref="E329:E342"/>
    <mergeCell ref="AH308:AH315"/>
    <mergeCell ref="AK308:AK315"/>
    <mergeCell ref="AN400:AN401"/>
    <mergeCell ref="A345:A365"/>
    <mergeCell ref="B345:B365"/>
    <mergeCell ref="E345:E349"/>
    <mergeCell ref="F345:F346"/>
    <mergeCell ref="G345:G346"/>
    <mergeCell ref="H345:H346"/>
    <mergeCell ref="I345:I346"/>
    <mergeCell ref="J400:J401"/>
    <mergeCell ref="Z400:Z401"/>
    <mergeCell ref="AB400:AB401"/>
    <mergeCell ref="AE400:AE401"/>
    <mergeCell ref="AH400:AH401"/>
    <mergeCell ref="AK400:AK401"/>
    <mergeCell ref="F400:F401"/>
    <mergeCell ref="G400:G401"/>
    <mergeCell ref="H400:H401"/>
    <mergeCell ref="I400:I401"/>
    <mergeCell ref="E400:E401"/>
    <mergeCell ref="A366:A401"/>
    <mergeCell ref="AB345:AB349"/>
    <mergeCell ref="AE345:AE349"/>
    <mergeCell ref="Z308:Z315"/>
    <mergeCell ref="AB308:AB315"/>
    <mergeCell ref="AE308:AE315"/>
    <mergeCell ref="F329:F342"/>
    <mergeCell ref="AH302:AH307"/>
    <mergeCell ref="AK302:AK307"/>
    <mergeCell ref="AN302:AN307"/>
    <mergeCell ref="B308:B315"/>
    <mergeCell ref="E308:E315"/>
    <mergeCell ref="F308:F315"/>
    <mergeCell ref="G308:G309"/>
    <mergeCell ref="H308:H309"/>
    <mergeCell ref="I308:I309"/>
    <mergeCell ref="J329:J331"/>
    <mergeCell ref="Z329:Z342"/>
    <mergeCell ref="AB329:AB342"/>
    <mergeCell ref="AN329:AN342"/>
    <mergeCell ref="B302:B307"/>
    <mergeCell ref="E302:E307"/>
    <mergeCell ref="F302:F307"/>
    <mergeCell ref="G302:G307"/>
    <mergeCell ref="H302:H307"/>
    <mergeCell ref="I302:I307"/>
    <mergeCell ref="J302:J307"/>
    <mergeCell ref="Z302:Z307"/>
    <mergeCell ref="AB302:AB307"/>
    <mergeCell ref="Z319:Z321"/>
    <mergeCell ref="AE329:AE342"/>
    <mergeCell ref="AH329:AH342"/>
    <mergeCell ref="AK329:AK342"/>
    <mergeCell ref="B329:B344"/>
    <mergeCell ref="X323:X324"/>
    <mergeCell ref="Y323:Y324"/>
    <mergeCell ref="K323:K324"/>
    <mergeCell ref="AN308:AN315"/>
    <mergeCell ref="J308:J315"/>
    <mergeCell ref="P323:P324"/>
    <mergeCell ref="Q323:Q324"/>
    <mergeCell ref="R323:R324"/>
    <mergeCell ref="T323:T324"/>
    <mergeCell ref="U323:U324"/>
    <mergeCell ref="V323:V324"/>
    <mergeCell ref="W323:W324"/>
    <mergeCell ref="G310:G315"/>
    <mergeCell ref="H310:H315"/>
    <mergeCell ref="I310:I315"/>
    <mergeCell ref="M325:M328"/>
    <mergeCell ref="N325:N328"/>
    <mergeCell ref="O325:O328"/>
    <mergeCell ref="P325:P328"/>
    <mergeCell ref="Q325:Q328"/>
    <mergeCell ref="R325:R328"/>
    <mergeCell ref="U325:U328"/>
    <mergeCell ref="V325:V328"/>
    <mergeCell ref="W325:W328"/>
    <mergeCell ref="AN290:AN294"/>
    <mergeCell ref="J295:J301"/>
    <mergeCell ref="Z295:Z301"/>
    <mergeCell ref="AB295:AB301"/>
    <mergeCell ref="AE295:AE301"/>
    <mergeCell ref="AH295:AH301"/>
    <mergeCell ref="AK295:AK301"/>
    <mergeCell ref="AE290:AE294"/>
    <mergeCell ref="AH290:AH294"/>
    <mergeCell ref="AK290:AK294"/>
    <mergeCell ref="B295:B301"/>
    <mergeCell ref="E295:E301"/>
    <mergeCell ref="F295:F301"/>
    <mergeCell ref="G295:G301"/>
    <mergeCell ref="H295:H301"/>
    <mergeCell ref="I295:I301"/>
    <mergeCell ref="B290:B294"/>
    <mergeCell ref="E290:E294"/>
    <mergeCell ref="F290:F294"/>
    <mergeCell ref="G290:G294"/>
    <mergeCell ref="H290:H294"/>
    <mergeCell ref="I290:I294"/>
    <mergeCell ref="C295:C301"/>
    <mergeCell ref="D295:D301"/>
    <mergeCell ref="AN274:AN278"/>
    <mergeCell ref="A279:A315"/>
    <mergeCell ref="F279:F283"/>
    <mergeCell ref="G279:G283"/>
    <mergeCell ref="H279:H283"/>
    <mergeCell ref="I279:I283"/>
    <mergeCell ref="J274:J278"/>
    <mergeCell ref="Z274:Z278"/>
    <mergeCell ref="AB274:AB278"/>
    <mergeCell ref="AE274:AE278"/>
    <mergeCell ref="AH274:AH278"/>
    <mergeCell ref="AK274:AK278"/>
    <mergeCell ref="B274:B278"/>
    <mergeCell ref="E274:E278"/>
    <mergeCell ref="F274:F278"/>
    <mergeCell ref="G274:G278"/>
    <mergeCell ref="H274:H278"/>
    <mergeCell ref="I274:I278"/>
    <mergeCell ref="AN288:AN289"/>
    <mergeCell ref="J290:J293"/>
    <mergeCell ref="Z290:Z294"/>
    <mergeCell ref="AB290:AB294"/>
    <mergeCell ref="AE288:AE289"/>
    <mergeCell ref="AH288:AH289"/>
    <mergeCell ref="AK288:AK289"/>
    <mergeCell ref="B288:B289"/>
    <mergeCell ref="E288:E289"/>
    <mergeCell ref="F288:F289"/>
    <mergeCell ref="G288:G289"/>
    <mergeCell ref="H288:H289"/>
    <mergeCell ref="I288:I289"/>
    <mergeCell ref="AN295:AN301"/>
    <mergeCell ref="AH271:AH273"/>
    <mergeCell ref="AK271:AK273"/>
    <mergeCell ref="AN271:AN273"/>
    <mergeCell ref="F272:F273"/>
    <mergeCell ref="G272:G273"/>
    <mergeCell ref="H272:H273"/>
    <mergeCell ref="I272:I273"/>
    <mergeCell ref="B271:B273"/>
    <mergeCell ref="E271:E273"/>
    <mergeCell ref="Z271:Z273"/>
    <mergeCell ref="AB271:AB273"/>
    <mergeCell ref="H240:H242"/>
    <mergeCell ref="I240:I242"/>
    <mergeCell ref="Z240:Z242"/>
    <mergeCell ref="AB240:AB242"/>
    <mergeCell ref="AO245:AO248"/>
    <mergeCell ref="H250:H252"/>
    <mergeCell ref="I250:I252"/>
    <mergeCell ref="E250:E252"/>
    <mergeCell ref="F250:F252"/>
    <mergeCell ref="G250:G252"/>
    <mergeCell ref="AE240:AE242"/>
    <mergeCell ref="E240:E242"/>
    <mergeCell ref="F240:F242"/>
    <mergeCell ref="G240:G242"/>
    <mergeCell ref="J245:J249"/>
    <mergeCell ref="Z245:Z249"/>
    <mergeCell ref="E245:E249"/>
    <mergeCell ref="AB245:AB249"/>
    <mergeCell ref="AO250:AO252"/>
    <mergeCell ref="E254:E255"/>
    <mergeCell ref="AO264:AO268"/>
    <mergeCell ref="AH203:AH210"/>
    <mergeCell ref="AK203:AK210"/>
    <mergeCell ref="AE200:AE202"/>
    <mergeCell ref="AH200:AH202"/>
    <mergeCell ref="AK200:AK202"/>
    <mergeCell ref="AN200:AN202"/>
    <mergeCell ref="F201:F202"/>
    <mergeCell ref="G201:G202"/>
    <mergeCell ref="H201:H202"/>
    <mergeCell ref="I201:I202"/>
    <mergeCell ref="J198:J199"/>
    <mergeCell ref="Z198:Z199"/>
    <mergeCell ref="AN189:AN191"/>
    <mergeCell ref="E194:E197"/>
    <mergeCell ref="F194:F197"/>
    <mergeCell ref="G194:G197"/>
    <mergeCell ref="H194:H197"/>
    <mergeCell ref="I194:I197"/>
    <mergeCell ref="J194:J195"/>
    <mergeCell ref="Z194:Z197"/>
    <mergeCell ref="AB194:AB197"/>
    <mergeCell ref="AE194:AE197"/>
    <mergeCell ref="I189:I193"/>
    <mergeCell ref="Z189:Z191"/>
    <mergeCell ref="AB189:AB191"/>
    <mergeCell ref="AE189:AE191"/>
    <mergeCell ref="AH189:AH191"/>
    <mergeCell ref="AK189:AK191"/>
    <mergeCell ref="AB198:AB199"/>
    <mergeCell ref="AE198:AE199"/>
    <mergeCell ref="AH198:AH199"/>
    <mergeCell ref="AK198:AK199"/>
    <mergeCell ref="AN198:AN199"/>
    <mergeCell ref="F198:F199"/>
    <mergeCell ref="G198:G199"/>
    <mergeCell ref="H198:H199"/>
    <mergeCell ref="I198:I199"/>
    <mergeCell ref="Z180:Z187"/>
    <mergeCell ref="AB180:AB187"/>
    <mergeCell ref="AE180:AE187"/>
    <mergeCell ref="AH180:AH187"/>
    <mergeCell ref="AK180:AK187"/>
    <mergeCell ref="AN180:AN187"/>
    <mergeCell ref="B180:B199"/>
    <mergeCell ref="E180:E187"/>
    <mergeCell ref="F180:F188"/>
    <mergeCell ref="G180:G188"/>
    <mergeCell ref="H180:H188"/>
    <mergeCell ref="I180:I188"/>
    <mergeCell ref="E189:E191"/>
    <mergeCell ref="F189:F193"/>
    <mergeCell ref="G189:G193"/>
    <mergeCell ref="H189:H193"/>
    <mergeCell ref="AH164:AH166"/>
    <mergeCell ref="AK164:AK166"/>
    <mergeCell ref="AN164:AN166"/>
    <mergeCell ref="E164:E166"/>
    <mergeCell ref="F164:F166"/>
    <mergeCell ref="G164:G166"/>
    <mergeCell ref="H164:H166"/>
    <mergeCell ref="I164:I166"/>
    <mergeCell ref="J164:J166"/>
    <mergeCell ref="AH194:AH197"/>
    <mergeCell ref="AK194:AK197"/>
    <mergeCell ref="AN194:AN197"/>
    <mergeCell ref="E198:E199"/>
    <mergeCell ref="Z162:Z163"/>
    <mergeCell ref="AB162:AB163"/>
    <mergeCell ref="AE162:AE163"/>
    <mergeCell ref="AH162:AH163"/>
    <mergeCell ref="AK162:AK163"/>
    <mergeCell ref="AN162:AN163"/>
    <mergeCell ref="AE167:AE179"/>
    <mergeCell ref="E162:E163"/>
    <mergeCell ref="F162:F163"/>
    <mergeCell ref="G162:G163"/>
    <mergeCell ref="H162:H163"/>
    <mergeCell ref="I162:I163"/>
    <mergeCell ref="J162:J163"/>
    <mergeCell ref="AH167:AH179"/>
    <mergeCell ref="AK167:AK179"/>
    <mergeCell ref="AN167:AN179"/>
    <mergeCell ref="F177:F179"/>
    <mergeCell ref="G177:G179"/>
    <mergeCell ref="H177:H179"/>
    <mergeCell ref="AN137:AN141"/>
    <mergeCell ref="B127:B142"/>
    <mergeCell ref="AH130:AH136"/>
    <mergeCell ref="AK130:AK136"/>
    <mergeCell ref="AN130:AN136"/>
    <mergeCell ref="E137:E141"/>
    <mergeCell ref="J137:J141"/>
    <mergeCell ref="Z137:Z141"/>
    <mergeCell ref="AB137:AB141"/>
    <mergeCell ref="AE137:AE141"/>
    <mergeCell ref="AH137:AH141"/>
    <mergeCell ref="AK137:AK141"/>
    <mergeCell ref="AN127:AN128"/>
    <mergeCell ref="E130:E136"/>
    <mergeCell ref="F130:F141"/>
    <mergeCell ref="G130:G141"/>
    <mergeCell ref="H130:H141"/>
    <mergeCell ref="I130:I141"/>
    <mergeCell ref="J130:J136"/>
    <mergeCell ref="Z130:Z136"/>
    <mergeCell ref="AB130:AB136"/>
    <mergeCell ref="AE130:AE136"/>
    <mergeCell ref="J127:J129"/>
    <mergeCell ref="AE127:AE129"/>
    <mergeCell ref="AH127:AH129"/>
    <mergeCell ref="AK127:AK129"/>
    <mergeCell ref="AN123:AN124"/>
    <mergeCell ref="E125:E126"/>
    <mergeCell ref="J125:J126"/>
    <mergeCell ref="Z125:Z126"/>
    <mergeCell ref="AB125:AB126"/>
    <mergeCell ref="AE125:AE126"/>
    <mergeCell ref="AH125:AH126"/>
    <mergeCell ref="AK125:AK126"/>
    <mergeCell ref="AN125:AN126"/>
    <mergeCell ref="I123:I126"/>
    <mergeCell ref="J123:J124"/>
    <mergeCell ref="Z123:Z124"/>
    <mergeCell ref="AB123:AB124"/>
    <mergeCell ref="AE123:AE124"/>
    <mergeCell ref="AH123:AH124"/>
    <mergeCell ref="Z115:Z122"/>
    <mergeCell ref="AB115:AB122"/>
    <mergeCell ref="AE115:AE122"/>
    <mergeCell ref="AH115:AH122"/>
    <mergeCell ref="AK115:AK122"/>
    <mergeCell ref="AN115:AN122"/>
    <mergeCell ref="E115:E122"/>
    <mergeCell ref="F115:F122"/>
    <mergeCell ref="G115:G122"/>
    <mergeCell ref="H115:H122"/>
    <mergeCell ref="I115:I122"/>
    <mergeCell ref="E123:E124"/>
    <mergeCell ref="F123:F126"/>
    <mergeCell ref="G123:G126"/>
    <mergeCell ref="H123:H126"/>
    <mergeCell ref="AK123:AK124"/>
    <mergeCell ref="J115:J116"/>
    <mergeCell ref="AN106:AN109"/>
    <mergeCell ref="AE110:AE111"/>
    <mergeCell ref="AH110:AH111"/>
    <mergeCell ref="AK110:AK111"/>
    <mergeCell ref="AN110:AN111"/>
    <mergeCell ref="J106:J109"/>
    <mergeCell ref="Z106:Z109"/>
    <mergeCell ref="AB106:AB109"/>
    <mergeCell ref="AE106:AE109"/>
    <mergeCell ref="AH106:AH109"/>
    <mergeCell ref="AK106:AK109"/>
    <mergeCell ref="E106:E109"/>
    <mergeCell ref="F106:F108"/>
    <mergeCell ref="G106:G108"/>
    <mergeCell ref="H106:H108"/>
    <mergeCell ref="I106:I108"/>
    <mergeCell ref="E110:E112"/>
    <mergeCell ref="F111:F112"/>
    <mergeCell ref="G111:G112"/>
    <mergeCell ref="H111:H112"/>
    <mergeCell ref="I111:I112"/>
    <mergeCell ref="J111:J112"/>
    <mergeCell ref="Z110:Z112"/>
    <mergeCell ref="AP90:AP91"/>
    <mergeCell ref="F97:F104"/>
    <mergeCell ref="G97:G104"/>
    <mergeCell ref="H97:H104"/>
    <mergeCell ref="I97:I104"/>
    <mergeCell ref="J97:J105"/>
    <mergeCell ref="S90:S91"/>
    <mergeCell ref="T90:T91"/>
    <mergeCell ref="U90:U91"/>
    <mergeCell ref="V90:V91"/>
    <mergeCell ref="W90:W91"/>
    <mergeCell ref="X90:X91"/>
    <mergeCell ref="AP86:AP87"/>
    <mergeCell ref="J90:J96"/>
    <mergeCell ref="K90:K91"/>
    <mergeCell ref="L90:L91"/>
    <mergeCell ref="M90:M91"/>
    <mergeCell ref="N90:N91"/>
    <mergeCell ref="O90:O91"/>
    <mergeCell ref="P90:P91"/>
    <mergeCell ref="Q90:Q91"/>
    <mergeCell ref="R90:R91"/>
    <mergeCell ref="AG86:AG87"/>
    <mergeCell ref="AI86:AI87"/>
    <mergeCell ref="AJ86:AJ87"/>
    <mergeCell ref="AL86:AL87"/>
    <mergeCell ref="AM86:AM87"/>
    <mergeCell ref="AO86:AO87"/>
    <mergeCell ref="Z49:Z105"/>
    <mergeCell ref="AB49:AB105"/>
    <mergeCell ref="AE49:AE105"/>
    <mergeCell ref="AH49:AH105"/>
    <mergeCell ref="F62:F63"/>
    <mergeCell ref="G62:G63"/>
    <mergeCell ref="H62:H63"/>
    <mergeCell ref="I62:I63"/>
    <mergeCell ref="J64:J71"/>
    <mergeCell ref="F67:F68"/>
    <mergeCell ref="G67:G68"/>
    <mergeCell ref="H67:H68"/>
    <mergeCell ref="I67:I68"/>
    <mergeCell ref="Q86:Q87"/>
    <mergeCell ref="R86:R87"/>
    <mergeCell ref="T86:T87"/>
    <mergeCell ref="U86:U87"/>
    <mergeCell ref="K86:K87"/>
    <mergeCell ref="L86:L87"/>
    <mergeCell ref="M86:M87"/>
    <mergeCell ref="N86:N87"/>
    <mergeCell ref="O86:O87"/>
    <mergeCell ref="P86:P87"/>
    <mergeCell ref="J83:J85"/>
    <mergeCell ref="T69:T70"/>
    <mergeCell ref="J86:J89"/>
    <mergeCell ref="F84:F85"/>
    <mergeCell ref="G84:G85"/>
    <mergeCell ref="H84:H85"/>
    <mergeCell ref="AO58:AO59"/>
    <mergeCell ref="AP69:AP70"/>
    <mergeCell ref="F72:F75"/>
    <mergeCell ref="G72:G75"/>
    <mergeCell ref="H72:H75"/>
    <mergeCell ref="I72:I75"/>
    <mergeCell ref="J72:J82"/>
    <mergeCell ref="K75:K77"/>
    <mergeCell ref="L75:L77"/>
    <mergeCell ref="M75:M77"/>
    <mergeCell ref="N75:N77"/>
    <mergeCell ref="AG69:AG70"/>
    <mergeCell ref="AI69:AI70"/>
    <mergeCell ref="AJ69:AJ70"/>
    <mergeCell ref="AL69:AL70"/>
    <mergeCell ref="AM69:AM70"/>
    <mergeCell ref="AO69:AO70"/>
    <mergeCell ref="X69:X70"/>
    <mergeCell ref="Y69:Y70"/>
    <mergeCell ref="AP58:AP59"/>
    <mergeCell ref="Y58:Y59"/>
    <mergeCell ref="AA58:AA59"/>
    <mergeCell ref="AC58:AC59"/>
    <mergeCell ref="AD58:AD59"/>
    <mergeCell ref="AF58:AF59"/>
    <mergeCell ref="AG58:AG59"/>
    <mergeCell ref="S58:S59"/>
    <mergeCell ref="T58:T59"/>
    <mergeCell ref="AI58:AI59"/>
    <mergeCell ref="AJ58:AJ59"/>
    <mergeCell ref="AL58:AL59"/>
    <mergeCell ref="AM58:AM59"/>
    <mergeCell ref="AP52:AP55"/>
    <mergeCell ref="J57:J59"/>
    <mergeCell ref="K58:K59"/>
    <mergeCell ref="L58:L59"/>
    <mergeCell ref="M58:M59"/>
    <mergeCell ref="N58:N59"/>
    <mergeCell ref="O58:O59"/>
    <mergeCell ref="P58:P59"/>
    <mergeCell ref="Q58:Q59"/>
    <mergeCell ref="R58:R59"/>
    <mergeCell ref="AG52:AG55"/>
    <mergeCell ref="AI52:AI55"/>
    <mergeCell ref="AJ52:AJ55"/>
    <mergeCell ref="AL52:AL55"/>
    <mergeCell ref="AM52:AM55"/>
    <mergeCell ref="AO52:AO55"/>
    <mergeCell ref="X52:X55"/>
    <mergeCell ref="Y52:Y55"/>
    <mergeCell ref="AA52:AA55"/>
    <mergeCell ref="AC52:AC55"/>
    <mergeCell ref="AD52:AD55"/>
    <mergeCell ref="AF52:AF55"/>
    <mergeCell ref="AN49:AN105"/>
    <mergeCell ref="J51:J56"/>
    <mergeCell ref="K52:K55"/>
    <mergeCell ref="L52:L55"/>
    <mergeCell ref="M52:M55"/>
    <mergeCell ref="N52:N55"/>
    <mergeCell ref="U69:U70"/>
    <mergeCell ref="K69:K70"/>
    <mergeCell ref="L69:L70"/>
    <mergeCell ref="M69:M70"/>
    <mergeCell ref="AK49:AK105"/>
    <mergeCell ref="T52:T55"/>
    <mergeCell ref="U52:U55"/>
    <mergeCell ref="V52:V55"/>
    <mergeCell ref="W52:W55"/>
    <mergeCell ref="O69:O70"/>
    <mergeCell ref="P69:P70"/>
    <mergeCell ref="J60:J63"/>
    <mergeCell ref="AA69:AA70"/>
    <mergeCell ref="AC69:AC70"/>
    <mergeCell ref="AD69:AD70"/>
    <mergeCell ref="AF69:AF70"/>
    <mergeCell ref="Q69:Q70"/>
    <mergeCell ref="R69:R70"/>
    <mergeCell ref="U58:U59"/>
    <mergeCell ref="V58:V59"/>
    <mergeCell ref="W58:W59"/>
    <mergeCell ref="X58:X59"/>
    <mergeCell ref="V86:V87"/>
    <mergeCell ref="W86:W87"/>
    <mergeCell ref="V69:V70"/>
    <mergeCell ref="W69:W70"/>
    <mergeCell ref="N69:N70"/>
    <mergeCell ref="X86:X87"/>
    <mergeCell ref="AF86:AF87"/>
    <mergeCell ref="V75:V77"/>
    <mergeCell ref="W75:W77"/>
    <mergeCell ref="U75:U77"/>
    <mergeCell ref="F49:F50"/>
    <mergeCell ref="G49:G50"/>
    <mergeCell ref="H49:H50"/>
    <mergeCell ref="I49:I50"/>
    <mergeCell ref="F81:F82"/>
    <mergeCell ref="G81:G82"/>
    <mergeCell ref="H81:H82"/>
    <mergeCell ref="I81:I82"/>
    <mergeCell ref="A3:N3"/>
    <mergeCell ref="A4:N4"/>
    <mergeCell ref="A5:N5"/>
    <mergeCell ref="O6:R6"/>
    <mergeCell ref="U6:X6"/>
    <mergeCell ref="X75:X77"/>
    <mergeCell ref="F78:F79"/>
    <mergeCell ref="G78:G79"/>
    <mergeCell ref="H78:H79"/>
    <mergeCell ref="F31:F32"/>
    <mergeCell ref="G31:G32"/>
    <mergeCell ref="H31:H32"/>
    <mergeCell ref="I31:I32"/>
    <mergeCell ref="J31:J32"/>
    <mergeCell ref="F33:F34"/>
    <mergeCell ref="G33:G34"/>
    <mergeCell ref="H33:H34"/>
    <mergeCell ref="I33:I34"/>
    <mergeCell ref="J33:J34"/>
    <mergeCell ref="O52:O55"/>
    <mergeCell ref="P52:P55"/>
    <mergeCell ref="Q52:Q55"/>
    <mergeCell ref="R52:R55"/>
    <mergeCell ref="J49:J50"/>
    <mergeCell ref="AA6:AO6"/>
    <mergeCell ref="Z359:Z362"/>
    <mergeCell ref="AB359:AB362"/>
    <mergeCell ref="AE359:AE362"/>
    <mergeCell ref="AH359:AH362"/>
    <mergeCell ref="AK359:AK362"/>
    <mergeCell ref="AN359:AN362"/>
    <mergeCell ref="J361:J362"/>
    <mergeCell ref="F350:F358"/>
    <mergeCell ref="G350:G358"/>
    <mergeCell ref="H350:H358"/>
    <mergeCell ref="I350:I358"/>
    <mergeCell ref="E351:E353"/>
    <mergeCell ref="J351:J353"/>
    <mergeCell ref="Z351:Z353"/>
    <mergeCell ref="AB351:AB353"/>
    <mergeCell ref="AE351:AE353"/>
    <mergeCell ref="AH351:AH353"/>
    <mergeCell ref="AK351:AK353"/>
    <mergeCell ref="X357:X358"/>
    <mergeCell ref="E127:E129"/>
    <mergeCell ref="F127:F129"/>
    <mergeCell ref="G127:G129"/>
    <mergeCell ref="H127:H129"/>
    <mergeCell ref="I127:I129"/>
    <mergeCell ref="AA323:AA324"/>
    <mergeCell ref="AD323:AD324"/>
    <mergeCell ref="AG323:AG324"/>
    <mergeCell ref="AJ323:AJ324"/>
    <mergeCell ref="AM323:AM324"/>
    <mergeCell ref="K325:K328"/>
    <mergeCell ref="L325:L328"/>
    <mergeCell ref="E322:E328"/>
    <mergeCell ref="AN363:AN365"/>
    <mergeCell ref="B316:B328"/>
    <mergeCell ref="E316:E318"/>
    <mergeCell ref="F316:F318"/>
    <mergeCell ref="G316:G318"/>
    <mergeCell ref="H316:H318"/>
    <mergeCell ref="I316:I318"/>
    <mergeCell ref="J316:J318"/>
    <mergeCell ref="Z316:Z318"/>
    <mergeCell ref="AB316:AB318"/>
    <mergeCell ref="AE316:AE318"/>
    <mergeCell ref="AH316:AH318"/>
    <mergeCell ref="AK316:AK318"/>
    <mergeCell ref="AN316:AN318"/>
    <mergeCell ref="E319:E321"/>
    <mergeCell ref="F319:F321"/>
    <mergeCell ref="G319:G321"/>
    <mergeCell ref="H319:H321"/>
    <mergeCell ref="I319:I321"/>
    <mergeCell ref="J319:J321"/>
    <mergeCell ref="Y357:Y358"/>
    <mergeCell ref="AA357:AA358"/>
    <mergeCell ref="AD357:AD358"/>
    <mergeCell ref="AG357:AG358"/>
    <mergeCell ref="AJ357:AJ358"/>
    <mergeCell ref="AM357:AM358"/>
    <mergeCell ref="L323:L324"/>
    <mergeCell ref="M323:M324"/>
    <mergeCell ref="G347:G348"/>
    <mergeCell ref="H347:H348"/>
    <mergeCell ref="I347:I348"/>
    <mergeCell ref="E363:E365"/>
    <mergeCell ref="F363:F365"/>
    <mergeCell ref="G363:G365"/>
    <mergeCell ref="H363:H365"/>
    <mergeCell ref="I363:I365"/>
    <mergeCell ref="J363:J365"/>
    <mergeCell ref="E359:E362"/>
    <mergeCell ref="F359:F362"/>
    <mergeCell ref="G359:G362"/>
    <mergeCell ref="H359:H362"/>
    <mergeCell ref="I359:I362"/>
    <mergeCell ref="P357:P358"/>
    <mergeCell ref="Q357:Q358"/>
    <mergeCell ref="R357:R358"/>
    <mergeCell ref="U357:U358"/>
    <mergeCell ref="V357:V358"/>
    <mergeCell ref="W357:W358"/>
    <mergeCell ref="E354:E358"/>
    <mergeCell ref="J395:J396"/>
    <mergeCell ref="F366:F374"/>
    <mergeCell ref="G366:G374"/>
    <mergeCell ref="H366:H374"/>
    <mergeCell ref="I366:I374"/>
    <mergeCell ref="F375:F379"/>
    <mergeCell ref="G375:G379"/>
    <mergeCell ref="H375:H379"/>
    <mergeCell ref="I375:I379"/>
    <mergeCell ref="X325:X328"/>
    <mergeCell ref="Y325:Y328"/>
    <mergeCell ref="AA325:AA328"/>
    <mergeCell ref="AD325:AD328"/>
    <mergeCell ref="AG325:AG328"/>
    <mergeCell ref="AJ325:AJ328"/>
    <mergeCell ref="AM325:AM328"/>
    <mergeCell ref="I322:I328"/>
    <mergeCell ref="J322:J328"/>
    <mergeCell ref="Z322:Z328"/>
    <mergeCell ref="AB363:AB365"/>
    <mergeCell ref="AE363:AE365"/>
    <mergeCell ref="AH363:AH365"/>
    <mergeCell ref="AK363:AK365"/>
    <mergeCell ref="J347:J348"/>
    <mergeCell ref="G329:G342"/>
    <mergeCell ref="H329:H342"/>
    <mergeCell ref="I329:I342"/>
    <mergeCell ref="J332:J335"/>
    <mergeCell ref="J336:J337"/>
    <mergeCell ref="J338:J341"/>
    <mergeCell ref="N323:N324"/>
    <mergeCell ref="O323:O324"/>
  </mergeCells>
  <conditionalFormatting sqref="AP308:AP315 AP106:AP114">
    <cfRule type="cellIs" dxfId="35" priority="61" operator="notEqual">
      <formula>#REF!</formula>
    </cfRule>
  </conditionalFormatting>
  <conditionalFormatting sqref="AP78:AP86 AP56:AP58 AP60:AP69 AP88:AP90 AP92:AP104 AP8:AP52 AP112">
    <cfRule type="cellIs" dxfId="34" priority="57" operator="notEqual">
      <formula>#REF!</formula>
    </cfRule>
  </conditionalFormatting>
  <conditionalFormatting sqref="AP78:AP86 AP56:AP58 AP60:AP69 AP88:AP90 AP92:AP104 AP308:AP315 AP8:AP52 AP106:AP114">
    <cfRule type="cellIs" dxfId="33" priority="58" operator="equal">
      <formula>#REF!</formula>
    </cfRule>
  </conditionalFormatting>
  <conditionalFormatting sqref="AP279:AP289 AP115:AP142">
    <cfRule type="cellIs" dxfId="32" priority="55" operator="notEqual">
      <formula>#REF!</formula>
    </cfRule>
  </conditionalFormatting>
  <conditionalFormatting sqref="AP271:AP307 AP115:AP142">
    <cfRule type="cellIs" dxfId="31" priority="56" operator="equal">
      <formula>#REF!</formula>
    </cfRule>
  </conditionalFormatting>
  <conditionalFormatting sqref="AP271:AP278 AP290:AP307">
    <cfRule type="cellIs" dxfId="30" priority="53" operator="notEqual">
      <formula>#REF!</formula>
    </cfRule>
  </conditionalFormatting>
  <conditionalFormatting sqref="AP342:AP343">
    <cfRule type="cellIs" dxfId="29" priority="52" operator="equal">
      <formula>#REF!</formula>
    </cfRule>
  </conditionalFormatting>
  <conditionalFormatting sqref="AP342:AP343">
    <cfRule type="cellIs" dxfId="28" priority="51" operator="notEqual">
      <formula>#REF!</formula>
    </cfRule>
  </conditionalFormatting>
  <conditionalFormatting sqref="AP180:AP182 AP188:AP189 AP192:AP210">
    <cfRule type="cellIs" dxfId="27" priority="43" operator="notEqual">
      <formula>#REF!</formula>
    </cfRule>
  </conditionalFormatting>
  <conditionalFormatting sqref="AP180:AP182 AP188:AP189 AP192:AP210">
    <cfRule type="cellIs" dxfId="26" priority="44" operator="equal">
      <formula>#REF!</formula>
    </cfRule>
  </conditionalFormatting>
  <conditionalFormatting sqref="AP190:AP191">
    <cfRule type="cellIs" dxfId="25" priority="41" operator="notEqual">
      <formula>#REF!</formula>
    </cfRule>
  </conditionalFormatting>
  <conditionalFormatting sqref="AP190:AP191">
    <cfRule type="cellIs" dxfId="24" priority="42" operator="equal">
      <formula>#REF!</formula>
    </cfRule>
  </conditionalFormatting>
  <conditionalFormatting sqref="AP183">
    <cfRule type="cellIs" dxfId="23" priority="39" operator="notEqual">
      <formula>#REF!</formula>
    </cfRule>
  </conditionalFormatting>
  <conditionalFormatting sqref="AP183">
    <cfRule type="cellIs" dxfId="22" priority="40" operator="equal">
      <formula>#REF!</formula>
    </cfRule>
  </conditionalFormatting>
  <conditionalFormatting sqref="AP184">
    <cfRule type="cellIs" dxfId="21" priority="37" operator="notEqual">
      <formula>#REF!</formula>
    </cfRule>
  </conditionalFormatting>
  <conditionalFormatting sqref="AP184">
    <cfRule type="cellIs" dxfId="20" priority="38" operator="equal">
      <formula>#REF!</formula>
    </cfRule>
  </conditionalFormatting>
  <conditionalFormatting sqref="AP185:AP187">
    <cfRule type="cellIs" dxfId="19" priority="35" operator="notEqual">
      <formula>#REF!</formula>
    </cfRule>
  </conditionalFormatting>
  <conditionalFormatting sqref="AP185:AP187">
    <cfRule type="cellIs" dxfId="18" priority="36" operator="equal">
      <formula>#REF!</formula>
    </cfRule>
  </conditionalFormatting>
  <conditionalFormatting sqref="AP400:AP401">
    <cfRule type="cellIs" dxfId="17" priority="31" operator="notEqual">
      <formula>#REF!</formula>
    </cfRule>
  </conditionalFormatting>
  <conditionalFormatting sqref="AP400:AP401">
    <cfRule type="cellIs" dxfId="16" priority="32" operator="equal">
      <formula>#REF!</formula>
    </cfRule>
  </conditionalFormatting>
  <conditionalFormatting sqref="AP329:AP341">
    <cfRule type="cellIs" dxfId="15" priority="29" operator="notEqual">
      <formula>#REF!</formula>
    </cfRule>
  </conditionalFormatting>
  <conditionalFormatting sqref="AP344">
    <cfRule type="cellIs" dxfId="14" priority="27" operator="notEqual">
      <formula>#REF!</formula>
    </cfRule>
  </conditionalFormatting>
  <conditionalFormatting sqref="AP329:AP341 AP345:AP399">
    <cfRule type="cellIs" dxfId="13" priority="30" operator="equal">
      <formula>#REF!</formula>
    </cfRule>
  </conditionalFormatting>
  <conditionalFormatting sqref="AP344">
    <cfRule type="cellIs" dxfId="12" priority="28" operator="equal">
      <formula>#REF!</formula>
    </cfRule>
  </conditionalFormatting>
  <conditionalFormatting sqref="AP71:AP76 AP345:AP399">
    <cfRule type="cellIs" dxfId="11" priority="23" operator="notEqual">
      <formula>#REF!</formula>
    </cfRule>
  </conditionalFormatting>
  <conditionalFormatting sqref="AP71:AP76">
    <cfRule type="cellIs" dxfId="10" priority="24" operator="equal">
      <formula>#REF!</formula>
    </cfRule>
  </conditionalFormatting>
  <conditionalFormatting sqref="AP105">
    <cfRule type="cellIs" dxfId="9" priority="21" operator="notEqual">
      <formula>#REF!</formula>
    </cfRule>
  </conditionalFormatting>
  <conditionalFormatting sqref="AP105">
    <cfRule type="cellIs" dxfId="8" priority="22" operator="equal">
      <formula>#REF!</formula>
    </cfRule>
  </conditionalFormatting>
  <conditionalFormatting sqref="AP162:AP179">
    <cfRule type="cellIs" dxfId="7" priority="17" operator="notEqual">
      <formula>#REF!</formula>
    </cfRule>
  </conditionalFormatting>
  <conditionalFormatting sqref="AP162:AP179">
    <cfRule type="cellIs" dxfId="6" priority="18" operator="equal">
      <formula>#REF!</formula>
    </cfRule>
  </conditionalFormatting>
  <conditionalFormatting sqref="AP316:AP328">
    <cfRule type="cellIs" dxfId="5" priority="9" operator="notEqual">
      <formula>Y316</formula>
    </cfRule>
  </conditionalFormatting>
  <conditionalFormatting sqref="AP316:AP328">
    <cfRule type="cellIs" dxfId="4" priority="10" operator="equal">
      <formula>Y316</formula>
    </cfRule>
  </conditionalFormatting>
  <conditionalFormatting sqref="AP143:AP161">
    <cfRule type="cellIs" dxfId="3" priority="5" operator="notEqual">
      <formula>$Y$6</formula>
    </cfRule>
  </conditionalFormatting>
  <conditionalFormatting sqref="AP143:AP161">
    <cfRule type="cellIs" dxfId="2" priority="6" operator="equal">
      <formula>$Y$6</formula>
    </cfRule>
  </conditionalFormatting>
  <conditionalFormatting sqref="AP211:AP270">
    <cfRule type="cellIs" dxfId="1" priority="3" operator="notEqual">
      <formula>$Y$6</formula>
    </cfRule>
  </conditionalFormatting>
  <conditionalFormatting sqref="AP211:AP270">
    <cfRule type="cellIs" dxfId="0" priority="4" operator="equal">
      <formula>$Y$6</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
  <sheetViews>
    <sheetView zoomScale="104" workbookViewId="0">
      <selection activeCell="E15" sqref="E15"/>
    </sheetView>
  </sheetViews>
  <sheetFormatPr baseColWidth="10" defaultRowHeight="15" x14ac:dyDescent="0.25"/>
  <cols>
    <col min="7" max="7" width="13.5703125" bestFit="1" customWidth="1"/>
    <col min="8" max="8" width="14.5703125" bestFit="1" customWidth="1"/>
    <col min="9" max="9" width="14.28515625" customWidth="1"/>
  </cols>
  <sheetData>
    <row r="3" spans="1:9" ht="21" x14ac:dyDescent="0.35">
      <c r="A3" s="2230"/>
      <c r="B3" s="2230"/>
      <c r="C3" s="2230"/>
      <c r="D3" s="2230"/>
      <c r="E3" s="2230"/>
      <c r="F3" s="2230"/>
      <c r="G3" s="2230"/>
      <c r="H3" s="2230"/>
      <c r="I3" s="2"/>
    </row>
    <row r="4" spans="1:9" ht="15.75" x14ac:dyDescent="0.25">
      <c r="A4" s="2231"/>
      <c r="B4" s="2231"/>
      <c r="C4" s="2231"/>
      <c r="D4" s="2231"/>
      <c r="E4" s="2231"/>
      <c r="F4" s="2231"/>
      <c r="G4" s="2231"/>
      <c r="H4" s="2231"/>
      <c r="I4" s="2"/>
    </row>
    <row r="5" spans="1:9" ht="15.75" x14ac:dyDescent="0.25">
      <c r="A5" s="2231"/>
      <c r="B5" s="2231"/>
      <c r="C5" s="2231"/>
      <c r="D5" s="2231"/>
      <c r="E5" s="2231"/>
      <c r="F5" s="2231"/>
      <c r="G5" s="2231"/>
      <c r="H5" s="2231"/>
      <c r="I5" s="2"/>
    </row>
    <row r="6" spans="1:9" x14ac:dyDescent="0.25">
      <c r="A6" s="3"/>
      <c r="B6" s="3"/>
      <c r="C6" s="4"/>
      <c r="D6" s="3"/>
      <c r="E6" s="2"/>
      <c r="F6" s="1"/>
      <c r="G6" s="1"/>
      <c r="H6" s="1"/>
      <c r="I6" s="5"/>
    </row>
    <row r="7" spans="1:9" ht="45" x14ac:dyDescent="0.25">
      <c r="A7" s="6" t="s">
        <v>6</v>
      </c>
      <c r="B7" s="6" t="s">
        <v>564</v>
      </c>
      <c r="C7" s="6" t="s">
        <v>563</v>
      </c>
      <c r="D7" s="6" t="s">
        <v>9</v>
      </c>
      <c r="E7" s="6" t="s">
        <v>565</v>
      </c>
      <c r="F7" s="6" t="s">
        <v>566</v>
      </c>
      <c r="G7" s="6" t="s">
        <v>567</v>
      </c>
      <c r="H7" s="6" t="s">
        <v>12</v>
      </c>
      <c r="I7" s="7" t="s">
        <v>16</v>
      </c>
    </row>
  </sheetData>
  <mergeCells count="3">
    <mergeCell ref="A3:H3"/>
    <mergeCell ref="A4:H4"/>
    <mergeCell ref="A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tabSelected="1" zoomScale="120" zoomScaleNormal="120" workbookViewId="0">
      <pane ySplit="7" topLeftCell="A8" activePane="bottomLeft" state="frozen"/>
      <selection pane="bottomLeft" activeCell="E11" sqref="E11"/>
    </sheetView>
  </sheetViews>
  <sheetFormatPr baseColWidth="10" defaultRowHeight="12.75" x14ac:dyDescent="0.2"/>
  <cols>
    <col min="1" max="1" width="15.85546875" style="804" customWidth="1"/>
    <col min="2" max="2" width="14.28515625" style="804" customWidth="1"/>
    <col min="3" max="3" width="16.28515625" style="804" customWidth="1"/>
    <col min="4" max="4" width="22.85546875" style="804" hidden="1" customWidth="1"/>
    <col min="5" max="5" width="16.28515625" style="804" customWidth="1"/>
    <col min="6" max="6" width="23" style="804" hidden="1" customWidth="1"/>
    <col min="7" max="7" width="16.5703125" style="804" customWidth="1"/>
    <col min="8" max="8" width="21.42578125" style="804" hidden="1" customWidth="1"/>
    <col min="9" max="9" width="16.5703125" style="804" customWidth="1"/>
    <col min="10" max="10" width="18.5703125" style="804" hidden="1" customWidth="1"/>
    <col min="11" max="11" width="16.42578125" style="804" customWidth="1"/>
    <col min="12" max="12" width="18.5703125" style="804" hidden="1" customWidth="1"/>
    <col min="13" max="13" width="16.42578125" style="804" customWidth="1"/>
    <col min="14" max="14" width="18.5703125" style="804" hidden="1" customWidth="1"/>
    <col min="15" max="15" width="14.5703125" style="804" customWidth="1"/>
    <col min="16" max="16" width="14.28515625" style="804" hidden="1" customWidth="1"/>
    <col min="17" max="16384" width="11.42578125" style="804"/>
  </cols>
  <sheetData>
    <row r="1" spans="1:33" ht="15" customHeight="1" x14ac:dyDescent="0.2">
      <c r="A1" s="2238" t="s">
        <v>1003</v>
      </c>
      <c r="B1" s="2239"/>
      <c r="C1" s="2239"/>
      <c r="D1" s="2239"/>
      <c r="E1" s="2239"/>
      <c r="F1" s="2239"/>
      <c r="G1" s="2239"/>
      <c r="H1" s="2239"/>
      <c r="I1" s="2239"/>
      <c r="J1" s="2239"/>
      <c r="K1" s="2239"/>
      <c r="L1" s="2239"/>
      <c r="M1" s="2239"/>
      <c r="N1" s="2239"/>
      <c r="O1" s="2239"/>
      <c r="P1" s="818"/>
      <c r="Q1" s="818"/>
      <c r="R1" s="818"/>
      <c r="S1" s="818"/>
      <c r="T1" s="818"/>
      <c r="U1" s="818"/>
      <c r="V1" s="818"/>
      <c r="W1" s="818"/>
      <c r="X1" s="818"/>
      <c r="Y1" s="818"/>
      <c r="Z1" s="818"/>
      <c r="AA1" s="818"/>
      <c r="AB1" s="818"/>
      <c r="AC1" s="818"/>
      <c r="AD1" s="818"/>
      <c r="AE1" s="818"/>
      <c r="AF1" s="818"/>
      <c r="AG1" s="818"/>
    </row>
    <row r="2" spans="1:33" ht="15" x14ac:dyDescent="0.25">
      <c r="A2" s="2240" t="s">
        <v>1004</v>
      </c>
      <c r="B2" s="2240"/>
      <c r="C2" s="2240"/>
      <c r="D2" s="2240"/>
      <c r="E2" s="2240"/>
      <c r="F2" s="2240"/>
      <c r="G2" s="2240"/>
      <c r="H2" s="2240"/>
      <c r="I2" s="2240"/>
      <c r="J2" s="2240"/>
      <c r="K2" s="2240"/>
      <c r="L2" s="2240"/>
      <c r="M2" s="2240"/>
      <c r="N2" s="2240"/>
      <c r="O2" s="2240"/>
      <c r="P2" s="819"/>
      <c r="Q2" s="819"/>
      <c r="R2" s="819"/>
      <c r="S2" s="819"/>
      <c r="T2" s="819"/>
      <c r="U2" s="819"/>
      <c r="V2" s="819"/>
      <c r="W2" s="819"/>
      <c r="X2" s="819"/>
      <c r="Y2" s="819"/>
      <c r="Z2" s="819"/>
      <c r="AA2" s="819"/>
      <c r="AB2" s="819"/>
      <c r="AC2" s="819"/>
      <c r="AD2" s="819"/>
      <c r="AE2" s="819"/>
      <c r="AF2" s="819"/>
      <c r="AG2" s="819"/>
    </row>
    <row r="3" spans="1:33" ht="15" x14ac:dyDescent="0.25">
      <c r="A3" s="2240" t="s">
        <v>1005</v>
      </c>
      <c r="B3" s="2240"/>
      <c r="C3" s="2240"/>
      <c r="D3" s="2240"/>
      <c r="E3" s="2240"/>
      <c r="F3" s="2240"/>
      <c r="G3" s="2240"/>
      <c r="H3" s="2240"/>
      <c r="I3" s="2240"/>
      <c r="J3" s="2240"/>
      <c r="K3" s="2240"/>
      <c r="L3" s="2240"/>
      <c r="M3" s="2240"/>
      <c r="N3" s="2240"/>
      <c r="O3" s="2240"/>
      <c r="P3" s="819"/>
      <c r="Q3" s="819"/>
      <c r="R3" s="819"/>
      <c r="S3" s="819"/>
      <c r="T3" s="819"/>
      <c r="U3" s="819"/>
      <c r="V3" s="819"/>
      <c r="W3" s="819"/>
      <c r="X3" s="819"/>
      <c r="Y3" s="819"/>
      <c r="Z3" s="819"/>
      <c r="AA3" s="819"/>
      <c r="AB3" s="819"/>
      <c r="AC3" s="819"/>
      <c r="AD3" s="819"/>
      <c r="AE3" s="819"/>
      <c r="AF3" s="819"/>
      <c r="AG3" s="819"/>
    </row>
    <row r="4" spans="1:33" ht="15" x14ac:dyDescent="0.25">
      <c r="A4" s="2241" t="s">
        <v>1006</v>
      </c>
      <c r="B4" s="2241"/>
      <c r="C4" s="2241"/>
      <c r="D4" s="2241"/>
      <c r="E4" s="2241"/>
      <c r="F4" s="2241"/>
      <c r="G4" s="2241"/>
      <c r="H4" s="2241"/>
      <c r="I4" s="2241"/>
      <c r="J4" s="2241"/>
      <c r="K4" s="2241"/>
      <c r="L4" s="2241"/>
      <c r="M4" s="2241"/>
      <c r="N4" s="2241"/>
      <c r="O4" s="2241"/>
      <c r="P4" s="820"/>
      <c r="Q4" s="820"/>
      <c r="R4" s="820"/>
      <c r="S4" s="820"/>
      <c r="T4" s="820"/>
      <c r="U4" s="820"/>
      <c r="V4" s="820"/>
      <c r="W4" s="820"/>
      <c r="X4" s="820"/>
      <c r="Y4" s="820"/>
      <c r="Z4" s="820"/>
      <c r="AA4" s="820"/>
      <c r="AB4" s="820"/>
      <c r="AC4" s="820"/>
      <c r="AD4" s="820"/>
      <c r="AE4" s="820"/>
      <c r="AF4" s="820"/>
      <c r="AG4" s="820"/>
    </row>
    <row r="5" spans="1:33" ht="12.75" customHeight="1" x14ac:dyDescent="0.2"/>
    <row r="6" spans="1:33" ht="12.75" customHeight="1" x14ac:dyDescent="0.2">
      <c r="G6" s="2235" t="s">
        <v>1007</v>
      </c>
      <c r="H6" s="2235"/>
      <c r="I6" s="2235"/>
      <c r="J6" s="2235"/>
      <c r="K6" s="2235"/>
      <c r="L6" s="2235"/>
      <c r="M6" s="2235"/>
      <c r="N6" s="2235"/>
      <c r="O6" s="2235"/>
    </row>
    <row r="7" spans="1:33" ht="27.75" customHeight="1" x14ac:dyDescent="0.2">
      <c r="A7" s="824" t="s">
        <v>1002</v>
      </c>
      <c r="B7" s="825" t="s">
        <v>5</v>
      </c>
      <c r="C7" s="825" t="s">
        <v>6</v>
      </c>
      <c r="D7" s="822" t="s">
        <v>23</v>
      </c>
      <c r="E7" s="822" t="s">
        <v>23</v>
      </c>
      <c r="F7" s="812" t="s">
        <v>25</v>
      </c>
      <c r="G7" s="821" t="s">
        <v>997</v>
      </c>
      <c r="H7" s="822" t="s">
        <v>28</v>
      </c>
      <c r="I7" s="823" t="s">
        <v>998</v>
      </c>
      <c r="J7" s="822" t="s">
        <v>30</v>
      </c>
      <c r="K7" s="823" t="s">
        <v>999</v>
      </c>
      <c r="L7" s="822" t="s">
        <v>32</v>
      </c>
      <c r="M7" s="823" t="s">
        <v>1000</v>
      </c>
      <c r="N7" s="822" t="s">
        <v>34</v>
      </c>
      <c r="O7" s="821" t="s">
        <v>1001</v>
      </c>
    </row>
    <row r="8" spans="1:33" ht="38.25" x14ac:dyDescent="0.2">
      <c r="A8" s="2233" t="s">
        <v>35</v>
      </c>
      <c r="B8" s="2232" t="s">
        <v>36</v>
      </c>
      <c r="C8" s="828" t="s">
        <v>37</v>
      </c>
      <c r="D8" s="813">
        <v>9979626068.5332012</v>
      </c>
      <c r="E8" s="836">
        <f>+D8/1000000</f>
        <v>9979.6260685332018</v>
      </c>
      <c r="F8" s="836">
        <f>+MPT!AB8</f>
        <v>2945770972</v>
      </c>
      <c r="G8" s="836">
        <f>+F8/1000000</f>
        <v>2945.7709719999998</v>
      </c>
      <c r="H8" s="836">
        <v>7033855096</v>
      </c>
      <c r="I8" s="836">
        <f>+H8/1000000</f>
        <v>7033.8550960000002</v>
      </c>
      <c r="J8" s="836">
        <v>0</v>
      </c>
      <c r="K8" s="836">
        <f>+J8/1000000</f>
        <v>0</v>
      </c>
      <c r="L8" s="836">
        <v>0</v>
      </c>
      <c r="M8" s="836">
        <f>+L8/1000000</f>
        <v>0</v>
      </c>
      <c r="N8" s="836">
        <v>0</v>
      </c>
      <c r="O8" s="845">
        <f>+N8/1000000</f>
        <v>0</v>
      </c>
      <c r="P8" s="805">
        <f>+G8+I8+K8+M8+O8</f>
        <v>9979.6260679999996</v>
      </c>
    </row>
    <row r="9" spans="1:33" ht="38.25" x14ac:dyDescent="0.2">
      <c r="A9" s="2233"/>
      <c r="B9" s="2232"/>
      <c r="C9" s="828" t="s">
        <v>84</v>
      </c>
      <c r="D9" s="813">
        <v>35190329915.205704</v>
      </c>
      <c r="E9" s="836">
        <f t="shared" ref="E9:E71" si="0">+D9/1000000</f>
        <v>35190.329915205701</v>
      </c>
      <c r="F9" s="836">
        <v>2217322310</v>
      </c>
      <c r="G9" s="836">
        <f t="shared" ref="G9:G71" si="1">+F9/1000000</f>
        <v>2217.32231</v>
      </c>
      <c r="H9" s="836">
        <v>15118637597</v>
      </c>
      <c r="I9" s="836">
        <f t="shared" ref="I9:I71" si="2">+H9/1000000</f>
        <v>15118.637597000001</v>
      </c>
      <c r="J9" s="836">
        <v>0</v>
      </c>
      <c r="K9" s="836">
        <f t="shared" ref="K9:K71" si="3">+J9/1000000</f>
        <v>0</v>
      </c>
      <c r="L9" s="836">
        <v>17854370009</v>
      </c>
      <c r="M9" s="836">
        <f t="shared" ref="M9:M71" si="4">+L9/1000000</f>
        <v>17854.370008999998</v>
      </c>
      <c r="N9" s="836">
        <v>0</v>
      </c>
      <c r="O9" s="845">
        <f t="shared" ref="O9:O71" si="5">+N9/1000000</f>
        <v>0</v>
      </c>
      <c r="P9" s="805">
        <f t="shared" ref="P9:P71" si="6">+G9+I9+K9+M9+O9</f>
        <v>35190.329916000002</v>
      </c>
    </row>
    <row r="10" spans="1:33" ht="63.75" x14ac:dyDescent="0.2">
      <c r="A10" s="2233"/>
      <c r="B10" s="2232"/>
      <c r="C10" s="828" t="s">
        <v>98</v>
      </c>
      <c r="D10" s="813">
        <v>531630440568.52002</v>
      </c>
      <c r="E10" s="836">
        <f t="shared" si="0"/>
        <v>531630.44056851999</v>
      </c>
      <c r="F10" s="836">
        <v>209181350</v>
      </c>
      <c r="G10" s="836">
        <f t="shared" si="1"/>
        <v>209.18135000000001</v>
      </c>
      <c r="H10" s="836">
        <v>531421259219</v>
      </c>
      <c r="I10" s="836">
        <f t="shared" si="2"/>
        <v>531421.259219</v>
      </c>
      <c r="J10" s="836">
        <v>0</v>
      </c>
      <c r="K10" s="836">
        <f t="shared" si="3"/>
        <v>0</v>
      </c>
      <c r="L10" s="836">
        <v>0</v>
      </c>
      <c r="M10" s="836">
        <f t="shared" si="4"/>
        <v>0</v>
      </c>
      <c r="N10" s="836">
        <v>0</v>
      </c>
      <c r="O10" s="845">
        <f t="shared" si="5"/>
        <v>0</v>
      </c>
      <c r="P10" s="805">
        <f t="shared" si="6"/>
        <v>531630.44056899997</v>
      </c>
    </row>
    <row r="11" spans="1:33" ht="51" x14ac:dyDescent="0.2">
      <c r="A11" s="2233"/>
      <c r="B11" s="2234" t="s">
        <v>103</v>
      </c>
      <c r="C11" s="826" t="s">
        <v>1008</v>
      </c>
      <c r="D11" s="806">
        <v>11637502771.926928</v>
      </c>
      <c r="E11" s="836">
        <f t="shared" si="0"/>
        <v>11637.502771926927</v>
      </c>
      <c r="F11" s="837">
        <v>0</v>
      </c>
      <c r="G11" s="836">
        <f t="shared" si="1"/>
        <v>0</v>
      </c>
      <c r="H11" s="837">
        <v>11637502771.926928</v>
      </c>
      <c r="I11" s="836">
        <f t="shared" si="2"/>
        <v>11637.502771926927</v>
      </c>
      <c r="J11" s="837">
        <v>0</v>
      </c>
      <c r="K11" s="836">
        <f t="shared" si="3"/>
        <v>0</v>
      </c>
      <c r="L11" s="837">
        <v>0</v>
      </c>
      <c r="M11" s="836">
        <f t="shared" si="4"/>
        <v>0</v>
      </c>
      <c r="N11" s="837">
        <v>0</v>
      </c>
      <c r="O11" s="845">
        <f t="shared" si="5"/>
        <v>0</v>
      </c>
      <c r="P11" s="805">
        <f t="shared" si="6"/>
        <v>11637.502771926927</v>
      </c>
    </row>
    <row r="12" spans="1:33" ht="38.25" x14ac:dyDescent="0.2">
      <c r="A12" s="2233"/>
      <c r="B12" s="2234"/>
      <c r="C12" s="826" t="s">
        <v>1009</v>
      </c>
      <c r="D12" s="806">
        <v>2300994850</v>
      </c>
      <c r="E12" s="836">
        <f t="shared" si="0"/>
        <v>2300.99485</v>
      </c>
      <c r="F12" s="837">
        <v>0</v>
      </c>
      <c r="G12" s="836">
        <f t="shared" si="1"/>
        <v>0</v>
      </c>
      <c r="H12" s="837">
        <v>0</v>
      </c>
      <c r="I12" s="836">
        <f t="shared" si="2"/>
        <v>0</v>
      </c>
      <c r="J12" s="837">
        <v>0</v>
      </c>
      <c r="K12" s="836">
        <f t="shared" si="3"/>
        <v>0</v>
      </c>
      <c r="L12" s="837">
        <v>0</v>
      </c>
      <c r="M12" s="836">
        <f t="shared" si="4"/>
        <v>0</v>
      </c>
      <c r="N12" s="837">
        <v>2300994850</v>
      </c>
      <c r="O12" s="845">
        <f t="shared" si="5"/>
        <v>2300.99485</v>
      </c>
      <c r="P12" s="805">
        <f t="shared" si="6"/>
        <v>2300.99485</v>
      </c>
    </row>
    <row r="13" spans="1:33" ht="38.25" x14ac:dyDescent="0.2">
      <c r="A13" s="2233"/>
      <c r="B13" s="2234"/>
      <c r="C13" s="826" t="s">
        <v>1010</v>
      </c>
      <c r="D13" s="873">
        <f>4235870171.85494+83672540</f>
        <v>4319542711.8549404</v>
      </c>
      <c r="E13" s="836">
        <f t="shared" si="0"/>
        <v>4319.5427118549405</v>
      </c>
      <c r="F13" s="837">
        <v>4235870171.8549371</v>
      </c>
      <c r="G13" s="836">
        <f t="shared" si="1"/>
        <v>4235.8701718549373</v>
      </c>
      <c r="H13" s="837"/>
      <c r="I13" s="836">
        <f t="shared" si="2"/>
        <v>0</v>
      </c>
      <c r="J13" s="837"/>
      <c r="K13" s="836">
        <f t="shared" si="3"/>
        <v>0</v>
      </c>
      <c r="L13" s="837"/>
      <c r="M13" s="836">
        <f t="shared" si="4"/>
        <v>0</v>
      </c>
      <c r="N13" s="837">
        <v>83672540</v>
      </c>
      <c r="O13" s="845">
        <f t="shared" si="5"/>
        <v>83.672539999999998</v>
      </c>
      <c r="P13" s="805">
        <f t="shared" si="6"/>
        <v>4319.5427118549369</v>
      </c>
    </row>
    <row r="14" spans="1:33" ht="25.5" x14ac:dyDescent="0.2">
      <c r="A14" s="2233"/>
      <c r="B14" s="2234"/>
      <c r="C14" s="826" t="s">
        <v>835</v>
      </c>
      <c r="D14" s="806">
        <v>1333843455.84182</v>
      </c>
      <c r="E14" s="836">
        <f t="shared" si="0"/>
        <v>1333.8434558418201</v>
      </c>
      <c r="F14" s="837">
        <v>1333843455.84182</v>
      </c>
      <c r="G14" s="836">
        <f t="shared" si="1"/>
        <v>1333.8434558418201</v>
      </c>
      <c r="H14" s="837"/>
      <c r="I14" s="836">
        <f t="shared" si="2"/>
        <v>0</v>
      </c>
      <c r="J14" s="837"/>
      <c r="K14" s="836">
        <f t="shared" si="3"/>
        <v>0</v>
      </c>
      <c r="L14" s="837"/>
      <c r="M14" s="836">
        <f t="shared" si="4"/>
        <v>0</v>
      </c>
      <c r="N14" s="837"/>
      <c r="O14" s="845">
        <f t="shared" si="5"/>
        <v>0</v>
      </c>
      <c r="P14" s="805">
        <f t="shared" si="6"/>
        <v>1333.8434558418201</v>
      </c>
    </row>
    <row r="15" spans="1:33" ht="28.5" customHeight="1" x14ac:dyDescent="0.2">
      <c r="A15" s="2233"/>
      <c r="B15" s="2233" t="s">
        <v>206</v>
      </c>
      <c r="C15" s="809" t="s">
        <v>207</v>
      </c>
      <c r="D15" s="874">
        <f>5075841836.05194+100000000</f>
        <v>5175841836.05194</v>
      </c>
      <c r="E15" s="836">
        <f t="shared" si="0"/>
        <v>5175.8418360519399</v>
      </c>
      <c r="F15" s="838">
        <v>1729999120.977</v>
      </c>
      <c r="G15" s="836">
        <f t="shared" si="1"/>
        <v>1729.9991209770001</v>
      </c>
      <c r="H15" s="838">
        <v>3202278659</v>
      </c>
      <c r="I15" s="836">
        <f t="shared" si="2"/>
        <v>3202.2786590000001</v>
      </c>
      <c r="J15" s="838">
        <v>0</v>
      </c>
      <c r="K15" s="836">
        <f t="shared" si="3"/>
        <v>0</v>
      </c>
      <c r="L15" s="838">
        <v>143564056</v>
      </c>
      <c r="M15" s="836">
        <f t="shared" si="4"/>
        <v>143.56405599999999</v>
      </c>
      <c r="N15" s="838">
        <v>100000000</v>
      </c>
      <c r="O15" s="845">
        <f t="shared" si="5"/>
        <v>100</v>
      </c>
      <c r="P15" s="805">
        <f t="shared" si="6"/>
        <v>5175.8418359770003</v>
      </c>
    </row>
    <row r="16" spans="1:33" ht="25.5" x14ac:dyDescent="0.2">
      <c r="A16" s="2233"/>
      <c r="B16" s="2233"/>
      <c r="C16" s="809" t="s">
        <v>220</v>
      </c>
      <c r="D16" s="811">
        <v>500000000</v>
      </c>
      <c r="E16" s="836">
        <f t="shared" si="0"/>
        <v>500</v>
      </c>
      <c r="F16" s="838">
        <v>400000000</v>
      </c>
      <c r="G16" s="836">
        <f t="shared" si="1"/>
        <v>400</v>
      </c>
      <c r="H16" s="838">
        <v>100000000</v>
      </c>
      <c r="I16" s="836">
        <f t="shared" si="2"/>
        <v>100</v>
      </c>
      <c r="J16" s="838">
        <v>0</v>
      </c>
      <c r="K16" s="836">
        <f t="shared" si="3"/>
        <v>0</v>
      </c>
      <c r="L16" s="838">
        <v>0</v>
      </c>
      <c r="M16" s="836">
        <f t="shared" si="4"/>
        <v>0</v>
      </c>
      <c r="N16" s="838">
        <v>0</v>
      </c>
      <c r="O16" s="845">
        <f t="shared" si="5"/>
        <v>0</v>
      </c>
      <c r="P16" s="805">
        <f t="shared" si="6"/>
        <v>500</v>
      </c>
    </row>
    <row r="17" spans="1:16" x14ac:dyDescent="0.2">
      <c r="A17" s="2233"/>
      <c r="B17" s="2233"/>
      <c r="C17" s="826" t="s">
        <v>1012</v>
      </c>
      <c r="D17" s="806">
        <v>139778260</v>
      </c>
      <c r="E17" s="836">
        <f t="shared" si="0"/>
        <v>139.77825999999999</v>
      </c>
      <c r="F17" s="837">
        <v>139778260</v>
      </c>
      <c r="G17" s="836">
        <f t="shared" si="1"/>
        <v>139.77825999999999</v>
      </c>
      <c r="H17" s="837">
        <v>0</v>
      </c>
      <c r="I17" s="836">
        <f t="shared" si="2"/>
        <v>0</v>
      </c>
      <c r="J17" s="837">
        <v>0</v>
      </c>
      <c r="K17" s="836">
        <f t="shared" si="3"/>
        <v>0</v>
      </c>
      <c r="L17" s="837">
        <v>0</v>
      </c>
      <c r="M17" s="836">
        <f t="shared" si="4"/>
        <v>0</v>
      </c>
      <c r="N17" s="837">
        <v>0</v>
      </c>
      <c r="O17" s="845">
        <f t="shared" si="5"/>
        <v>0</v>
      </c>
      <c r="P17" s="805">
        <f t="shared" si="6"/>
        <v>139.77825999999999</v>
      </c>
    </row>
    <row r="18" spans="1:16" x14ac:dyDescent="0.2">
      <c r="A18" s="2233"/>
      <c r="B18" s="2233" t="s">
        <v>224</v>
      </c>
      <c r="C18" s="809" t="s">
        <v>225</v>
      </c>
      <c r="D18" s="811">
        <v>542093169.39284301</v>
      </c>
      <c r="E18" s="836">
        <f t="shared" si="0"/>
        <v>542.09316939284304</v>
      </c>
      <c r="F18" s="838">
        <v>0</v>
      </c>
      <c r="G18" s="836">
        <f t="shared" si="1"/>
        <v>0</v>
      </c>
      <c r="H18" s="838">
        <v>542093169.56188595</v>
      </c>
      <c r="I18" s="836">
        <f t="shared" si="2"/>
        <v>542.09316956188593</v>
      </c>
      <c r="J18" s="838">
        <v>0</v>
      </c>
      <c r="K18" s="836">
        <f t="shared" si="3"/>
        <v>0</v>
      </c>
      <c r="L18" s="838">
        <v>0</v>
      </c>
      <c r="M18" s="836">
        <f t="shared" si="4"/>
        <v>0</v>
      </c>
      <c r="N18" s="838">
        <v>0</v>
      </c>
      <c r="O18" s="845">
        <f t="shared" si="5"/>
        <v>0</v>
      </c>
      <c r="P18" s="805">
        <f t="shared" si="6"/>
        <v>542.09316956188593</v>
      </c>
    </row>
    <row r="19" spans="1:16" ht="25.5" x14ac:dyDescent="0.2">
      <c r="A19" s="2233"/>
      <c r="B19" s="2233"/>
      <c r="C19" s="809" t="s">
        <v>224</v>
      </c>
      <c r="D19" s="811">
        <v>1445081650.934104</v>
      </c>
      <c r="E19" s="836">
        <f t="shared" si="0"/>
        <v>1445.0816509341039</v>
      </c>
      <c r="F19" s="838">
        <v>285000000</v>
      </c>
      <c r="G19" s="836">
        <f t="shared" si="1"/>
        <v>285</v>
      </c>
      <c r="H19" s="838">
        <v>1160081650.934104</v>
      </c>
      <c r="I19" s="836">
        <f t="shared" si="2"/>
        <v>1160.0816509341039</v>
      </c>
      <c r="J19" s="838">
        <v>0</v>
      </c>
      <c r="K19" s="836">
        <f t="shared" si="3"/>
        <v>0</v>
      </c>
      <c r="L19" s="838">
        <v>0</v>
      </c>
      <c r="M19" s="836">
        <f t="shared" si="4"/>
        <v>0</v>
      </c>
      <c r="N19" s="838">
        <v>0</v>
      </c>
      <c r="O19" s="845">
        <f t="shared" si="5"/>
        <v>0</v>
      </c>
      <c r="P19" s="805">
        <f t="shared" si="6"/>
        <v>1445.0816509341039</v>
      </c>
    </row>
    <row r="20" spans="1:16" x14ac:dyDescent="0.2">
      <c r="A20" s="2233"/>
      <c r="B20" s="2233"/>
      <c r="C20" s="809" t="s">
        <v>229</v>
      </c>
      <c r="D20" s="811">
        <v>5373579377.1640396</v>
      </c>
      <c r="E20" s="836">
        <f t="shared" si="0"/>
        <v>5373.5793771640392</v>
      </c>
      <c r="F20" s="838">
        <v>4955216677.1640396</v>
      </c>
      <c r="G20" s="836">
        <f t="shared" si="1"/>
        <v>4955.2166771640395</v>
      </c>
      <c r="H20" s="838">
        <v>418362700</v>
      </c>
      <c r="I20" s="836">
        <f t="shared" si="2"/>
        <v>418.36270000000002</v>
      </c>
      <c r="J20" s="838">
        <v>0</v>
      </c>
      <c r="K20" s="836">
        <f t="shared" si="3"/>
        <v>0</v>
      </c>
      <c r="L20" s="838">
        <v>0</v>
      </c>
      <c r="M20" s="836">
        <f t="shared" si="4"/>
        <v>0</v>
      </c>
      <c r="N20" s="838">
        <v>0</v>
      </c>
      <c r="O20" s="845">
        <f t="shared" si="5"/>
        <v>0</v>
      </c>
      <c r="P20" s="805">
        <f t="shared" si="6"/>
        <v>5373.5793771640392</v>
      </c>
    </row>
    <row r="21" spans="1:16" ht="25.5" x14ac:dyDescent="0.2">
      <c r="A21" s="2233"/>
      <c r="B21" s="2233"/>
      <c r="C21" s="827" t="s">
        <v>233</v>
      </c>
      <c r="D21" s="814">
        <v>576133219</v>
      </c>
      <c r="E21" s="836">
        <f t="shared" si="0"/>
        <v>576.13321900000005</v>
      </c>
      <c r="F21" s="839">
        <v>76800000</v>
      </c>
      <c r="G21" s="836">
        <f t="shared" si="1"/>
        <v>76.8</v>
      </c>
      <c r="H21" s="839">
        <v>376526430</v>
      </c>
      <c r="I21" s="836">
        <f t="shared" si="2"/>
        <v>376.52643</v>
      </c>
      <c r="J21" s="839">
        <v>0</v>
      </c>
      <c r="K21" s="836">
        <f t="shared" si="3"/>
        <v>0</v>
      </c>
      <c r="L21" s="839">
        <v>115934249</v>
      </c>
      <c r="M21" s="836">
        <f t="shared" si="4"/>
        <v>115.93424899999999</v>
      </c>
      <c r="N21" s="839">
        <v>6872540</v>
      </c>
      <c r="O21" s="845">
        <f t="shared" si="5"/>
        <v>6.8725399999999999</v>
      </c>
      <c r="P21" s="805">
        <f t="shared" si="6"/>
        <v>576.13321899999994</v>
      </c>
    </row>
    <row r="22" spans="1:16" ht="51" x14ac:dyDescent="0.2">
      <c r="A22" s="2233"/>
      <c r="B22" s="2234" t="s">
        <v>237</v>
      </c>
      <c r="C22" s="828" t="s">
        <v>875</v>
      </c>
      <c r="D22" s="807">
        <v>2195104505</v>
      </c>
      <c r="E22" s="836">
        <f t="shared" si="0"/>
        <v>2195.1045049999998</v>
      </c>
      <c r="F22" s="840">
        <v>1841682683</v>
      </c>
      <c r="G22" s="836">
        <f t="shared" si="1"/>
        <v>1841.682683</v>
      </c>
      <c r="H22" s="840">
        <v>353421822</v>
      </c>
      <c r="I22" s="836">
        <f t="shared" si="2"/>
        <v>353.42182200000002</v>
      </c>
      <c r="J22" s="840">
        <v>0</v>
      </c>
      <c r="K22" s="836">
        <f t="shared" si="3"/>
        <v>0</v>
      </c>
      <c r="L22" s="840">
        <v>0</v>
      </c>
      <c r="M22" s="836">
        <f t="shared" si="4"/>
        <v>0</v>
      </c>
      <c r="N22" s="840">
        <v>0</v>
      </c>
      <c r="O22" s="845">
        <f t="shared" si="5"/>
        <v>0</v>
      </c>
      <c r="P22" s="805">
        <f t="shared" si="6"/>
        <v>2195.1045050000002</v>
      </c>
    </row>
    <row r="23" spans="1:16" ht="25.5" x14ac:dyDescent="0.2">
      <c r="A23" s="2233"/>
      <c r="B23" s="2234"/>
      <c r="C23" s="828" t="s">
        <v>244</v>
      </c>
      <c r="D23" s="807">
        <f>376544127+N23</f>
        <v>391544127</v>
      </c>
      <c r="E23" s="836">
        <f t="shared" si="0"/>
        <v>391.544127</v>
      </c>
      <c r="F23" s="840">
        <v>104590675</v>
      </c>
      <c r="G23" s="836">
        <f t="shared" si="1"/>
        <v>104.590675</v>
      </c>
      <c r="H23" s="840">
        <v>271953452</v>
      </c>
      <c r="I23" s="836">
        <f t="shared" si="2"/>
        <v>271.95345200000003</v>
      </c>
      <c r="J23" s="840">
        <v>0</v>
      </c>
      <c r="K23" s="836">
        <f t="shared" si="3"/>
        <v>0</v>
      </c>
      <c r="L23" s="840">
        <v>0</v>
      </c>
      <c r="M23" s="836">
        <f t="shared" si="4"/>
        <v>0</v>
      </c>
      <c r="N23" s="840">
        <v>15000000</v>
      </c>
      <c r="O23" s="845">
        <f t="shared" si="5"/>
        <v>15</v>
      </c>
      <c r="P23" s="805">
        <f t="shared" si="6"/>
        <v>391.544127</v>
      </c>
    </row>
    <row r="24" spans="1:16" x14ac:dyDescent="0.2">
      <c r="A24" s="2233"/>
      <c r="B24" s="2234"/>
      <c r="C24" s="829" t="s">
        <v>890</v>
      </c>
      <c r="D24" s="815">
        <v>357248629</v>
      </c>
      <c r="E24" s="836">
        <f t="shared" si="0"/>
        <v>357.24862899999999</v>
      </c>
      <c r="F24" s="841">
        <v>146426945</v>
      </c>
      <c r="G24" s="836">
        <f t="shared" si="1"/>
        <v>146.42694499999999</v>
      </c>
      <c r="H24" s="841">
        <v>210821684</v>
      </c>
      <c r="I24" s="836">
        <f t="shared" si="2"/>
        <v>210.821684</v>
      </c>
      <c r="J24" s="841">
        <v>0</v>
      </c>
      <c r="K24" s="836">
        <f t="shared" si="3"/>
        <v>0</v>
      </c>
      <c r="L24" s="841">
        <v>0</v>
      </c>
      <c r="M24" s="836">
        <f t="shared" si="4"/>
        <v>0</v>
      </c>
      <c r="N24" s="841">
        <v>0</v>
      </c>
      <c r="O24" s="845">
        <f t="shared" si="5"/>
        <v>0</v>
      </c>
      <c r="P24" s="805">
        <f t="shared" si="6"/>
        <v>357.24862899999999</v>
      </c>
    </row>
    <row r="25" spans="1:16" ht="63.75" x14ac:dyDescent="0.2">
      <c r="A25" s="2233"/>
      <c r="B25" s="2234"/>
      <c r="C25" s="826" t="s">
        <v>247</v>
      </c>
      <c r="D25" s="807">
        <f>164834904+N25</f>
        <v>184834904</v>
      </c>
      <c r="E25" s="836">
        <f t="shared" si="0"/>
        <v>184.83490399999999</v>
      </c>
      <c r="F25" s="840">
        <v>62754405</v>
      </c>
      <c r="G25" s="836">
        <f t="shared" si="1"/>
        <v>62.754404999999998</v>
      </c>
      <c r="H25" s="840">
        <v>102080499</v>
      </c>
      <c r="I25" s="836">
        <f t="shared" si="2"/>
        <v>102.080499</v>
      </c>
      <c r="J25" s="840">
        <v>0</v>
      </c>
      <c r="K25" s="836">
        <f t="shared" si="3"/>
        <v>0</v>
      </c>
      <c r="L25" s="840">
        <v>0</v>
      </c>
      <c r="M25" s="836">
        <f t="shared" si="4"/>
        <v>0</v>
      </c>
      <c r="N25" s="840">
        <v>20000000</v>
      </c>
      <c r="O25" s="845">
        <f t="shared" si="5"/>
        <v>20</v>
      </c>
      <c r="P25" s="805">
        <f t="shared" si="6"/>
        <v>184.83490399999999</v>
      </c>
    </row>
    <row r="26" spans="1:16" ht="51" x14ac:dyDescent="0.2">
      <c r="A26" s="2233"/>
      <c r="B26" s="2234"/>
      <c r="C26" s="828" t="s">
        <v>249</v>
      </c>
      <c r="D26" s="807">
        <f>2473978100</f>
        <v>2473978100</v>
      </c>
      <c r="E26" s="836">
        <f t="shared" si="0"/>
        <v>2473.9780999999998</v>
      </c>
      <c r="F26" s="840">
        <v>0</v>
      </c>
      <c r="G26" s="836">
        <f t="shared" si="1"/>
        <v>0</v>
      </c>
      <c r="H26" s="840">
        <v>2343978100</v>
      </c>
      <c r="I26" s="836">
        <f t="shared" si="2"/>
        <v>2343.9780999999998</v>
      </c>
      <c r="J26" s="840">
        <v>0</v>
      </c>
      <c r="K26" s="836">
        <f t="shared" si="3"/>
        <v>0</v>
      </c>
      <c r="L26" s="840">
        <v>0</v>
      </c>
      <c r="M26" s="836">
        <f t="shared" si="4"/>
        <v>0</v>
      </c>
      <c r="N26" s="840">
        <v>130000000</v>
      </c>
      <c r="O26" s="845">
        <f t="shared" si="5"/>
        <v>130</v>
      </c>
      <c r="P26" s="805">
        <f t="shared" si="6"/>
        <v>2473.9780999999998</v>
      </c>
    </row>
    <row r="27" spans="1:16" x14ac:dyDescent="0.2">
      <c r="A27" s="2233"/>
      <c r="B27" s="2234"/>
      <c r="C27" s="829" t="s">
        <v>251</v>
      </c>
      <c r="D27" s="815">
        <f>376526430+N27</f>
        <v>406526430</v>
      </c>
      <c r="E27" s="836">
        <f t="shared" si="0"/>
        <v>406.52643</v>
      </c>
      <c r="F27" s="841">
        <v>146426945</v>
      </c>
      <c r="G27" s="836">
        <f t="shared" si="1"/>
        <v>146.42694499999999</v>
      </c>
      <c r="H27" s="841">
        <v>230099485</v>
      </c>
      <c r="I27" s="836">
        <f t="shared" si="2"/>
        <v>230.09948499999999</v>
      </c>
      <c r="J27" s="841">
        <v>0</v>
      </c>
      <c r="K27" s="836">
        <f t="shared" si="3"/>
        <v>0</v>
      </c>
      <c r="L27" s="841">
        <v>0</v>
      </c>
      <c r="M27" s="836">
        <f t="shared" si="4"/>
        <v>0</v>
      </c>
      <c r="N27" s="841">
        <v>30000000</v>
      </c>
      <c r="O27" s="845">
        <f t="shared" si="5"/>
        <v>30</v>
      </c>
      <c r="P27" s="805">
        <f t="shared" si="6"/>
        <v>406.52643</v>
      </c>
    </row>
    <row r="28" spans="1:16" x14ac:dyDescent="0.2">
      <c r="A28" s="2233"/>
      <c r="B28" s="2234"/>
      <c r="C28" s="809" t="s">
        <v>253</v>
      </c>
      <c r="D28" s="811">
        <v>1778010143.41519</v>
      </c>
      <c r="E28" s="836">
        <f t="shared" si="0"/>
        <v>1778.01014341519</v>
      </c>
      <c r="F28" s="838">
        <v>1778010143.41519</v>
      </c>
      <c r="G28" s="836">
        <f t="shared" si="1"/>
        <v>1778.01014341519</v>
      </c>
      <c r="H28" s="838">
        <v>0</v>
      </c>
      <c r="I28" s="836">
        <f t="shared" si="2"/>
        <v>0</v>
      </c>
      <c r="J28" s="838">
        <v>0</v>
      </c>
      <c r="K28" s="836">
        <f t="shared" si="3"/>
        <v>0</v>
      </c>
      <c r="L28" s="838">
        <v>0</v>
      </c>
      <c r="M28" s="836">
        <f t="shared" si="4"/>
        <v>0</v>
      </c>
      <c r="N28" s="838">
        <v>0</v>
      </c>
      <c r="O28" s="845">
        <f t="shared" si="5"/>
        <v>0</v>
      </c>
      <c r="P28" s="805">
        <f t="shared" si="6"/>
        <v>1778.01014341519</v>
      </c>
    </row>
    <row r="29" spans="1:16" ht="25.5" x14ac:dyDescent="0.2">
      <c r="A29" s="2233"/>
      <c r="B29" s="2234"/>
      <c r="C29" s="809" t="s">
        <v>255</v>
      </c>
      <c r="D29" s="811">
        <v>919741407.59851694</v>
      </c>
      <c r="E29" s="836">
        <f t="shared" si="0"/>
        <v>919.74140759851696</v>
      </c>
      <c r="F29" s="838">
        <v>919741407.59851694</v>
      </c>
      <c r="G29" s="836">
        <f t="shared" si="1"/>
        <v>919.74140759851696</v>
      </c>
      <c r="H29" s="838">
        <v>0</v>
      </c>
      <c r="I29" s="836">
        <f t="shared" si="2"/>
        <v>0</v>
      </c>
      <c r="J29" s="838">
        <v>0</v>
      </c>
      <c r="K29" s="836">
        <f t="shared" si="3"/>
        <v>0</v>
      </c>
      <c r="L29" s="838">
        <v>0</v>
      </c>
      <c r="M29" s="836">
        <f t="shared" si="4"/>
        <v>0</v>
      </c>
      <c r="N29" s="838">
        <v>0</v>
      </c>
      <c r="O29" s="845">
        <f t="shared" si="5"/>
        <v>0</v>
      </c>
      <c r="P29" s="805">
        <f t="shared" si="6"/>
        <v>919.74140759851696</v>
      </c>
    </row>
    <row r="30" spans="1:16" ht="38.25" x14ac:dyDescent="0.2">
      <c r="A30" s="2233"/>
      <c r="B30" s="826" t="s">
        <v>258</v>
      </c>
      <c r="C30" s="826" t="s">
        <v>258</v>
      </c>
      <c r="D30" s="806">
        <v>68231490804</v>
      </c>
      <c r="E30" s="836">
        <f t="shared" si="0"/>
        <v>68231.490804000001</v>
      </c>
      <c r="F30" s="837">
        <v>0</v>
      </c>
      <c r="G30" s="836">
        <f t="shared" si="1"/>
        <v>0</v>
      </c>
      <c r="H30" s="837">
        <v>35745011292</v>
      </c>
      <c r="I30" s="836">
        <f t="shared" si="2"/>
        <v>35745.011292000003</v>
      </c>
      <c r="J30" s="837">
        <v>0</v>
      </c>
      <c r="K30" s="836">
        <f t="shared" si="3"/>
        <v>0</v>
      </c>
      <c r="L30" s="837">
        <v>5586479512</v>
      </c>
      <c r="M30" s="836">
        <f t="shared" si="4"/>
        <v>5586.4795119999999</v>
      </c>
      <c r="N30" s="837">
        <v>26900000000</v>
      </c>
      <c r="O30" s="845">
        <f t="shared" si="5"/>
        <v>26900</v>
      </c>
      <c r="P30" s="805">
        <f t="shared" si="6"/>
        <v>68231.490804000001</v>
      </c>
    </row>
    <row r="31" spans="1:16" ht="25.5" x14ac:dyDescent="0.2">
      <c r="A31" s="2233"/>
      <c r="B31" s="2232" t="s">
        <v>1013</v>
      </c>
      <c r="C31" s="828" t="s">
        <v>283</v>
      </c>
      <c r="D31" s="807">
        <v>1073619610918.12</v>
      </c>
      <c r="E31" s="836">
        <f t="shared" si="0"/>
        <v>1073619.61091812</v>
      </c>
      <c r="F31" s="840">
        <v>17628509068</v>
      </c>
      <c r="G31" s="836">
        <f t="shared" si="1"/>
        <v>17628.509067999999</v>
      </c>
      <c r="H31" s="840">
        <v>10145647074</v>
      </c>
      <c r="I31" s="836">
        <f t="shared" si="2"/>
        <v>10145.647074</v>
      </c>
      <c r="J31" s="840">
        <v>265616165376</v>
      </c>
      <c r="K31" s="836">
        <f t="shared" si="3"/>
        <v>265616.16537599999</v>
      </c>
      <c r="L31" s="840">
        <v>0</v>
      </c>
      <c r="M31" s="836">
        <f t="shared" si="4"/>
        <v>0</v>
      </c>
      <c r="N31" s="840">
        <v>780229289400.12</v>
      </c>
      <c r="O31" s="845">
        <f t="shared" si="5"/>
        <v>780229.28940012003</v>
      </c>
      <c r="P31" s="805">
        <f t="shared" si="6"/>
        <v>1073619.61091812</v>
      </c>
    </row>
    <row r="32" spans="1:16" x14ac:dyDescent="0.2">
      <c r="A32" s="2233"/>
      <c r="B32" s="2232"/>
      <c r="C32" s="830" t="s">
        <v>290</v>
      </c>
      <c r="D32" s="815">
        <v>329105900760</v>
      </c>
      <c r="E32" s="836">
        <f t="shared" si="0"/>
        <v>329105.90075999999</v>
      </c>
      <c r="F32" s="841">
        <v>13477787262</v>
      </c>
      <c r="G32" s="836">
        <f t="shared" si="1"/>
        <v>13477.787262</v>
      </c>
      <c r="H32" s="841">
        <v>44925957540</v>
      </c>
      <c r="I32" s="836">
        <f t="shared" si="2"/>
        <v>44925.957540000003</v>
      </c>
      <c r="J32" s="841">
        <v>80866723572</v>
      </c>
      <c r="K32" s="836">
        <f t="shared" si="3"/>
        <v>80866.723572000003</v>
      </c>
      <c r="L32" s="841">
        <v>17970383016</v>
      </c>
      <c r="M32" s="836">
        <f t="shared" si="4"/>
        <v>17970.383016</v>
      </c>
      <c r="N32" s="841">
        <v>171865049370</v>
      </c>
      <c r="O32" s="845">
        <f t="shared" si="5"/>
        <v>171865.04936999999</v>
      </c>
      <c r="P32" s="805">
        <f t="shared" si="6"/>
        <v>329105.90075999999</v>
      </c>
    </row>
    <row r="33" spans="1:16" ht="38.25" x14ac:dyDescent="0.2">
      <c r="A33" s="2233"/>
      <c r="B33" s="2232"/>
      <c r="C33" s="828" t="s">
        <v>292</v>
      </c>
      <c r="D33" s="807">
        <v>38342981400</v>
      </c>
      <c r="E33" s="836">
        <f t="shared" si="0"/>
        <v>38342.981399999997</v>
      </c>
      <c r="F33" s="840">
        <v>0</v>
      </c>
      <c r="G33" s="836">
        <f t="shared" si="1"/>
        <v>0</v>
      </c>
      <c r="H33" s="840">
        <v>9997679400</v>
      </c>
      <c r="I33" s="836">
        <f t="shared" si="2"/>
        <v>9997.6794000000009</v>
      </c>
      <c r="J33" s="840">
        <v>0</v>
      </c>
      <c r="K33" s="836">
        <f t="shared" si="3"/>
        <v>0</v>
      </c>
      <c r="L33" s="840">
        <v>0</v>
      </c>
      <c r="M33" s="836">
        <f t="shared" si="4"/>
        <v>0</v>
      </c>
      <c r="N33" s="840">
        <v>28345302000</v>
      </c>
      <c r="O33" s="845">
        <f t="shared" si="5"/>
        <v>28345.302</v>
      </c>
      <c r="P33" s="805">
        <f t="shared" si="6"/>
        <v>38342.981400000004</v>
      </c>
    </row>
    <row r="34" spans="1:16" x14ac:dyDescent="0.2">
      <c r="A34" s="2233"/>
      <c r="B34" s="2232"/>
      <c r="C34" s="830" t="s">
        <v>296</v>
      </c>
      <c r="D34" s="815">
        <v>10753086750</v>
      </c>
      <c r="E34" s="836">
        <f t="shared" si="0"/>
        <v>10753.08675</v>
      </c>
      <c r="F34" s="841">
        <v>2765079450</v>
      </c>
      <c r="G34" s="836">
        <f t="shared" si="1"/>
        <v>2765.0794500000002</v>
      </c>
      <c r="H34" s="841">
        <v>1997001825</v>
      </c>
      <c r="I34" s="836">
        <f t="shared" si="2"/>
        <v>1997.0018250000001</v>
      </c>
      <c r="J34" s="841">
        <v>1997001825</v>
      </c>
      <c r="K34" s="836">
        <f t="shared" si="3"/>
        <v>1997.0018250000001</v>
      </c>
      <c r="L34" s="841">
        <v>0</v>
      </c>
      <c r="M34" s="836">
        <f t="shared" si="4"/>
        <v>0</v>
      </c>
      <c r="N34" s="841">
        <v>3994003650</v>
      </c>
      <c r="O34" s="845">
        <f t="shared" si="5"/>
        <v>3994.0036500000001</v>
      </c>
      <c r="P34" s="805">
        <f t="shared" si="6"/>
        <v>10753.08675</v>
      </c>
    </row>
    <row r="35" spans="1:16" ht="51" x14ac:dyDescent="0.2">
      <c r="A35" s="2233"/>
      <c r="B35" s="2232"/>
      <c r="C35" s="830" t="s">
        <v>298</v>
      </c>
      <c r="D35" s="815">
        <v>709703725.5</v>
      </c>
      <c r="E35" s="836">
        <f t="shared" si="0"/>
        <v>709.70372550000002</v>
      </c>
      <c r="F35" s="841">
        <v>709703725.5</v>
      </c>
      <c r="G35" s="836">
        <f t="shared" si="1"/>
        <v>709.70372550000002</v>
      </c>
      <c r="H35" s="841">
        <v>0</v>
      </c>
      <c r="I35" s="836">
        <f t="shared" si="2"/>
        <v>0</v>
      </c>
      <c r="J35" s="841">
        <v>0</v>
      </c>
      <c r="K35" s="836">
        <f t="shared" si="3"/>
        <v>0</v>
      </c>
      <c r="L35" s="841">
        <v>0</v>
      </c>
      <c r="M35" s="836">
        <f t="shared" si="4"/>
        <v>0</v>
      </c>
      <c r="N35" s="841">
        <v>0</v>
      </c>
      <c r="O35" s="845">
        <f t="shared" si="5"/>
        <v>0</v>
      </c>
      <c r="P35" s="805">
        <f t="shared" si="6"/>
        <v>709.70372550000002</v>
      </c>
    </row>
    <row r="36" spans="1:16" ht="63.75" x14ac:dyDescent="0.2">
      <c r="A36" s="2233"/>
      <c r="B36" s="2232"/>
      <c r="C36" s="828" t="s">
        <v>301</v>
      </c>
      <c r="D36" s="807">
        <v>18356616336</v>
      </c>
      <c r="E36" s="836">
        <f t="shared" si="0"/>
        <v>18356.616335999999</v>
      </c>
      <c r="F36" s="840">
        <v>1227168594</v>
      </c>
      <c r="G36" s="836">
        <f t="shared" si="1"/>
        <v>1227.168594</v>
      </c>
      <c r="H36" s="840">
        <v>0</v>
      </c>
      <c r="I36" s="836">
        <f t="shared" si="2"/>
        <v>0</v>
      </c>
      <c r="J36" s="840">
        <v>0</v>
      </c>
      <c r="K36" s="836">
        <f t="shared" si="3"/>
        <v>0</v>
      </c>
      <c r="L36" s="840">
        <v>263340900</v>
      </c>
      <c r="M36" s="836">
        <f t="shared" si="4"/>
        <v>263.34089999999998</v>
      </c>
      <c r="N36" s="840">
        <v>16866106842</v>
      </c>
      <c r="O36" s="845">
        <f t="shared" si="5"/>
        <v>16866.106842000001</v>
      </c>
      <c r="P36" s="805">
        <f t="shared" si="6"/>
        <v>18356.616335999999</v>
      </c>
    </row>
    <row r="37" spans="1:16" ht="38.25" x14ac:dyDescent="0.2">
      <c r="A37" s="2233"/>
      <c r="B37" s="2232"/>
      <c r="C37" s="826" t="s">
        <v>310</v>
      </c>
      <c r="D37" s="806">
        <v>2896749900</v>
      </c>
      <c r="E37" s="836">
        <f t="shared" si="0"/>
        <v>2896.7498999999998</v>
      </c>
      <c r="F37" s="837">
        <v>869024970</v>
      </c>
      <c r="G37" s="836">
        <f t="shared" si="1"/>
        <v>869.02497000000005</v>
      </c>
      <c r="H37" s="837">
        <v>0</v>
      </c>
      <c r="I37" s="836">
        <f t="shared" si="2"/>
        <v>0</v>
      </c>
      <c r="J37" s="837">
        <v>0</v>
      </c>
      <c r="K37" s="836">
        <f t="shared" si="3"/>
        <v>0</v>
      </c>
      <c r="L37" s="837">
        <v>0</v>
      </c>
      <c r="M37" s="836">
        <f t="shared" si="4"/>
        <v>0</v>
      </c>
      <c r="N37" s="837">
        <v>2027724930</v>
      </c>
      <c r="O37" s="845">
        <f t="shared" si="5"/>
        <v>2027.7249300000001</v>
      </c>
      <c r="P37" s="805">
        <f t="shared" si="6"/>
        <v>2896.7499000000003</v>
      </c>
    </row>
    <row r="38" spans="1:16" ht="76.5" x14ac:dyDescent="0.2">
      <c r="A38" s="2233"/>
      <c r="B38" s="2232" t="s">
        <v>314</v>
      </c>
      <c r="C38" s="809" t="s">
        <v>315</v>
      </c>
      <c r="D38" s="811">
        <v>495603004</v>
      </c>
      <c r="E38" s="836">
        <f t="shared" si="0"/>
        <v>495.603004</v>
      </c>
      <c r="F38" s="838">
        <v>300000000</v>
      </c>
      <c r="G38" s="836">
        <f t="shared" si="1"/>
        <v>300</v>
      </c>
      <c r="H38" s="838">
        <v>195603004</v>
      </c>
      <c r="I38" s="836">
        <f t="shared" si="2"/>
        <v>195.603004</v>
      </c>
      <c r="J38" s="838">
        <v>0</v>
      </c>
      <c r="K38" s="836">
        <f t="shared" si="3"/>
        <v>0</v>
      </c>
      <c r="L38" s="838">
        <v>0</v>
      </c>
      <c r="M38" s="836">
        <f t="shared" si="4"/>
        <v>0</v>
      </c>
      <c r="N38" s="838">
        <v>0</v>
      </c>
      <c r="O38" s="845">
        <f t="shared" si="5"/>
        <v>0</v>
      </c>
      <c r="P38" s="805">
        <f t="shared" si="6"/>
        <v>495.603004</v>
      </c>
    </row>
    <row r="39" spans="1:16" ht="89.25" x14ac:dyDescent="0.2">
      <c r="A39" s="2233"/>
      <c r="B39" s="2232"/>
      <c r="C39" s="809" t="s">
        <v>320</v>
      </c>
      <c r="D39" s="811">
        <v>2367656892</v>
      </c>
      <c r="E39" s="836">
        <f t="shared" si="0"/>
        <v>2367.656892</v>
      </c>
      <c r="F39" s="838">
        <v>2367656892</v>
      </c>
      <c r="G39" s="836">
        <f t="shared" si="1"/>
        <v>2367.656892</v>
      </c>
      <c r="H39" s="838">
        <v>0</v>
      </c>
      <c r="I39" s="836">
        <f t="shared" si="2"/>
        <v>0</v>
      </c>
      <c r="J39" s="838">
        <v>0</v>
      </c>
      <c r="K39" s="836">
        <f t="shared" si="3"/>
        <v>0</v>
      </c>
      <c r="L39" s="838">
        <v>0</v>
      </c>
      <c r="M39" s="836">
        <f t="shared" si="4"/>
        <v>0</v>
      </c>
      <c r="N39" s="838">
        <v>0</v>
      </c>
      <c r="O39" s="845">
        <f t="shared" si="5"/>
        <v>0</v>
      </c>
      <c r="P39" s="805">
        <f t="shared" si="6"/>
        <v>2367.656892</v>
      </c>
    </row>
    <row r="40" spans="1:16" ht="63.75" x14ac:dyDescent="0.2">
      <c r="A40" s="2233"/>
      <c r="B40" s="2232" t="s">
        <v>331</v>
      </c>
      <c r="C40" s="828" t="s">
        <v>332</v>
      </c>
      <c r="D40" s="807">
        <f>612616099+N40</f>
        <v>637616099</v>
      </c>
      <c r="E40" s="836">
        <f t="shared" si="0"/>
        <v>637.61609899999996</v>
      </c>
      <c r="F40" s="840">
        <v>125508810</v>
      </c>
      <c r="G40" s="836">
        <f t="shared" si="1"/>
        <v>125.50881</v>
      </c>
      <c r="H40" s="840">
        <v>487107289</v>
      </c>
      <c r="I40" s="836">
        <f t="shared" si="2"/>
        <v>487.10728899999998</v>
      </c>
      <c r="J40" s="840">
        <v>0</v>
      </c>
      <c r="K40" s="836">
        <f t="shared" si="3"/>
        <v>0</v>
      </c>
      <c r="L40" s="840">
        <v>0</v>
      </c>
      <c r="M40" s="836">
        <f t="shared" si="4"/>
        <v>0</v>
      </c>
      <c r="N40" s="840">
        <v>25000000</v>
      </c>
      <c r="O40" s="845">
        <f t="shared" si="5"/>
        <v>25</v>
      </c>
      <c r="P40" s="805">
        <f t="shared" si="6"/>
        <v>637.61609899999996</v>
      </c>
    </row>
    <row r="41" spans="1:16" ht="51" x14ac:dyDescent="0.2">
      <c r="A41" s="2233"/>
      <c r="B41" s="2232"/>
      <c r="C41" s="828" t="s">
        <v>912</v>
      </c>
      <c r="D41" s="807">
        <f>3991630316+N41</f>
        <v>4200760196</v>
      </c>
      <c r="E41" s="836">
        <f t="shared" si="0"/>
        <v>4200.7601960000002</v>
      </c>
      <c r="F41" s="840">
        <v>3767037907</v>
      </c>
      <c r="G41" s="836">
        <f t="shared" si="1"/>
        <v>3767.0379069999999</v>
      </c>
      <c r="H41" s="840">
        <v>224592409</v>
      </c>
      <c r="I41" s="836">
        <f t="shared" si="2"/>
        <v>224.592409</v>
      </c>
      <c r="J41" s="840">
        <v>0</v>
      </c>
      <c r="K41" s="836">
        <f t="shared" si="3"/>
        <v>0</v>
      </c>
      <c r="L41" s="840">
        <v>0</v>
      </c>
      <c r="M41" s="836">
        <f t="shared" si="4"/>
        <v>0</v>
      </c>
      <c r="N41" s="840">
        <v>209129880</v>
      </c>
      <c r="O41" s="845">
        <f t="shared" si="5"/>
        <v>209.12988000000001</v>
      </c>
      <c r="P41" s="805">
        <f t="shared" si="6"/>
        <v>4200.7601960000002</v>
      </c>
    </row>
    <row r="42" spans="1:16" ht="38.25" x14ac:dyDescent="0.2">
      <c r="A42" s="2233"/>
      <c r="B42" s="2232" t="s">
        <v>339</v>
      </c>
      <c r="C42" s="828" t="s">
        <v>340</v>
      </c>
      <c r="D42" s="807">
        <f>7877639601+N42</f>
        <v>7907639601</v>
      </c>
      <c r="E42" s="836">
        <f t="shared" si="0"/>
        <v>7907.6396009999999</v>
      </c>
      <c r="F42" s="840">
        <v>7877639601</v>
      </c>
      <c r="G42" s="836">
        <f t="shared" si="1"/>
        <v>7877.6396009999999</v>
      </c>
      <c r="H42" s="840">
        <v>0</v>
      </c>
      <c r="I42" s="836">
        <f t="shared" si="2"/>
        <v>0</v>
      </c>
      <c r="J42" s="840">
        <v>0</v>
      </c>
      <c r="K42" s="836">
        <f t="shared" si="3"/>
        <v>0</v>
      </c>
      <c r="L42" s="840">
        <v>0</v>
      </c>
      <c r="M42" s="836">
        <f t="shared" si="4"/>
        <v>0</v>
      </c>
      <c r="N42" s="840">
        <v>30000000</v>
      </c>
      <c r="O42" s="845">
        <f t="shared" si="5"/>
        <v>30</v>
      </c>
      <c r="P42" s="805">
        <f t="shared" si="6"/>
        <v>7907.6396009999999</v>
      </c>
    </row>
    <row r="43" spans="1:16" ht="25.5" x14ac:dyDescent="0.2">
      <c r="A43" s="2233"/>
      <c r="B43" s="2232"/>
      <c r="C43" s="828" t="s">
        <v>918</v>
      </c>
      <c r="D43" s="807">
        <f>818752438+N43</f>
        <v>838752438</v>
      </c>
      <c r="E43" s="836">
        <f t="shared" si="0"/>
        <v>838.75243799999998</v>
      </c>
      <c r="F43" s="840">
        <v>397444565</v>
      </c>
      <c r="G43" s="836">
        <f t="shared" si="1"/>
        <v>397.44456500000001</v>
      </c>
      <c r="H43" s="840">
        <v>421307873</v>
      </c>
      <c r="I43" s="836">
        <f t="shared" si="2"/>
        <v>421.30787299999997</v>
      </c>
      <c r="J43" s="840">
        <v>0</v>
      </c>
      <c r="K43" s="836">
        <f t="shared" si="3"/>
        <v>0</v>
      </c>
      <c r="L43" s="840">
        <v>0</v>
      </c>
      <c r="M43" s="836">
        <f t="shared" si="4"/>
        <v>0</v>
      </c>
      <c r="N43" s="840">
        <v>20000000</v>
      </c>
      <c r="O43" s="845">
        <f t="shared" si="5"/>
        <v>20</v>
      </c>
      <c r="P43" s="805">
        <f t="shared" si="6"/>
        <v>838.75243799999998</v>
      </c>
    </row>
    <row r="44" spans="1:16" x14ac:dyDescent="0.2">
      <c r="A44" s="2233"/>
      <c r="B44" s="2232"/>
      <c r="C44" s="826" t="s">
        <v>343</v>
      </c>
      <c r="D44" s="807">
        <v>754888268</v>
      </c>
      <c r="E44" s="836">
        <f t="shared" si="0"/>
        <v>754.88826800000004</v>
      </c>
      <c r="F44" s="840">
        <v>543871510</v>
      </c>
      <c r="G44" s="836">
        <f t="shared" si="1"/>
        <v>543.87150999999994</v>
      </c>
      <c r="H44" s="840">
        <v>211016758</v>
      </c>
      <c r="I44" s="836">
        <f t="shared" si="2"/>
        <v>211.01675800000001</v>
      </c>
      <c r="J44" s="840">
        <v>0</v>
      </c>
      <c r="K44" s="836">
        <f t="shared" si="3"/>
        <v>0</v>
      </c>
      <c r="L44" s="840">
        <v>0</v>
      </c>
      <c r="M44" s="836">
        <f t="shared" si="4"/>
        <v>0</v>
      </c>
      <c r="N44" s="840">
        <v>0</v>
      </c>
      <c r="O44" s="845">
        <f t="shared" si="5"/>
        <v>0</v>
      </c>
      <c r="P44" s="805">
        <f t="shared" si="6"/>
        <v>754.88826799999993</v>
      </c>
    </row>
    <row r="45" spans="1:16" ht="38.25" x14ac:dyDescent="0.2">
      <c r="A45" s="2233"/>
      <c r="B45" s="2232"/>
      <c r="C45" s="828" t="s">
        <v>927</v>
      </c>
      <c r="D45" s="807">
        <f>734028778+N45</f>
        <v>779028778</v>
      </c>
      <c r="E45" s="836">
        <f t="shared" si="0"/>
        <v>779.02877799999999</v>
      </c>
      <c r="F45" s="840">
        <v>313772025</v>
      </c>
      <c r="G45" s="836">
        <f t="shared" si="1"/>
        <v>313.77202499999999</v>
      </c>
      <c r="H45" s="840">
        <v>420256753</v>
      </c>
      <c r="I45" s="836">
        <f t="shared" si="2"/>
        <v>420.256753</v>
      </c>
      <c r="J45" s="840">
        <v>0</v>
      </c>
      <c r="K45" s="836">
        <f t="shared" si="3"/>
        <v>0</v>
      </c>
      <c r="L45" s="840">
        <v>0</v>
      </c>
      <c r="M45" s="836">
        <f t="shared" si="4"/>
        <v>0</v>
      </c>
      <c r="N45" s="840">
        <v>45000000</v>
      </c>
      <c r="O45" s="845">
        <f t="shared" si="5"/>
        <v>45</v>
      </c>
      <c r="P45" s="805">
        <f t="shared" si="6"/>
        <v>779.02877799999999</v>
      </c>
    </row>
    <row r="46" spans="1:16" ht="153" x14ac:dyDescent="0.2">
      <c r="A46" s="2233"/>
      <c r="B46" s="2232"/>
      <c r="C46" s="830" t="s">
        <v>934</v>
      </c>
      <c r="D46" s="808">
        <f>481117105+N46</f>
        <v>491117105</v>
      </c>
      <c r="E46" s="836">
        <f t="shared" si="0"/>
        <v>491.11710499999998</v>
      </c>
      <c r="F46" s="842">
        <v>481117105</v>
      </c>
      <c r="G46" s="836">
        <f t="shared" si="1"/>
        <v>481.11710499999998</v>
      </c>
      <c r="H46" s="842">
        <v>0</v>
      </c>
      <c r="I46" s="836">
        <f t="shared" si="2"/>
        <v>0</v>
      </c>
      <c r="J46" s="842">
        <v>0</v>
      </c>
      <c r="K46" s="836">
        <f t="shared" si="3"/>
        <v>0</v>
      </c>
      <c r="L46" s="842">
        <v>0</v>
      </c>
      <c r="M46" s="836">
        <f t="shared" si="4"/>
        <v>0</v>
      </c>
      <c r="N46" s="842">
        <v>10000000</v>
      </c>
      <c r="O46" s="845">
        <f t="shared" si="5"/>
        <v>10</v>
      </c>
      <c r="P46" s="805">
        <f t="shared" si="6"/>
        <v>491.11710499999998</v>
      </c>
    </row>
    <row r="47" spans="1:16" ht="25.5" x14ac:dyDescent="0.2">
      <c r="A47" s="2233" t="s">
        <v>994</v>
      </c>
      <c r="B47" s="2233" t="s">
        <v>351</v>
      </c>
      <c r="C47" s="809" t="s">
        <v>352</v>
      </c>
      <c r="D47" s="816">
        <v>79175000000</v>
      </c>
      <c r="E47" s="836">
        <f t="shared" si="0"/>
        <v>79175</v>
      </c>
      <c r="F47" s="843">
        <v>23135000000</v>
      </c>
      <c r="G47" s="836">
        <f t="shared" si="1"/>
        <v>23135</v>
      </c>
      <c r="H47" s="843">
        <v>0</v>
      </c>
      <c r="I47" s="836">
        <f t="shared" si="2"/>
        <v>0</v>
      </c>
      <c r="J47" s="843">
        <v>0</v>
      </c>
      <c r="K47" s="836">
        <f t="shared" si="3"/>
        <v>0</v>
      </c>
      <c r="L47" s="843">
        <v>0</v>
      </c>
      <c r="M47" s="836">
        <f t="shared" si="4"/>
        <v>0</v>
      </c>
      <c r="N47" s="843">
        <v>56040000000</v>
      </c>
      <c r="O47" s="845">
        <f t="shared" si="5"/>
        <v>56040</v>
      </c>
      <c r="P47" s="805">
        <f t="shared" si="6"/>
        <v>79175</v>
      </c>
    </row>
    <row r="48" spans="1:16" x14ac:dyDescent="0.2">
      <c r="A48" s="2233"/>
      <c r="B48" s="2233"/>
      <c r="C48" s="809" t="s">
        <v>358</v>
      </c>
      <c r="D48" s="816">
        <v>64500000000</v>
      </c>
      <c r="E48" s="836">
        <f t="shared" si="0"/>
        <v>64500</v>
      </c>
      <c r="F48" s="843">
        <v>64500000000</v>
      </c>
      <c r="G48" s="836">
        <f t="shared" si="1"/>
        <v>64500</v>
      </c>
      <c r="H48" s="843">
        <v>0</v>
      </c>
      <c r="I48" s="836">
        <f t="shared" si="2"/>
        <v>0</v>
      </c>
      <c r="J48" s="843">
        <v>0</v>
      </c>
      <c r="K48" s="836">
        <f t="shared" si="3"/>
        <v>0</v>
      </c>
      <c r="L48" s="843">
        <v>0</v>
      </c>
      <c r="M48" s="836">
        <f t="shared" si="4"/>
        <v>0</v>
      </c>
      <c r="N48" s="843">
        <v>0</v>
      </c>
      <c r="O48" s="845">
        <f t="shared" si="5"/>
        <v>0</v>
      </c>
      <c r="P48" s="805">
        <f t="shared" si="6"/>
        <v>64500</v>
      </c>
    </row>
    <row r="49" spans="1:16" ht="38.25" x14ac:dyDescent="0.2">
      <c r="A49" s="2233"/>
      <c r="B49" s="2233"/>
      <c r="C49" s="828" t="s">
        <v>363</v>
      </c>
      <c r="D49" s="816">
        <f>+MPT!Z245</f>
        <v>100733333333.33334</v>
      </c>
      <c r="E49" s="836">
        <f t="shared" si="0"/>
        <v>100733.33333333334</v>
      </c>
      <c r="F49" s="843">
        <f>+MPT!AB245</f>
        <v>100733333333.33334</v>
      </c>
      <c r="G49" s="836">
        <f t="shared" si="1"/>
        <v>100733.33333333334</v>
      </c>
      <c r="H49" s="843">
        <v>0</v>
      </c>
      <c r="I49" s="836">
        <f t="shared" si="2"/>
        <v>0</v>
      </c>
      <c r="J49" s="843">
        <v>0</v>
      </c>
      <c r="K49" s="836">
        <f t="shared" si="3"/>
        <v>0</v>
      </c>
      <c r="L49" s="843">
        <v>0</v>
      </c>
      <c r="M49" s="836">
        <f t="shared" si="4"/>
        <v>0</v>
      </c>
      <c r="N49" s="843">
        <v>0</v>
      </c>
      <c r="O49" s="845">
        <f t="shared" si="5"/>
        <v>0</v>
      </c>
      <c r="P49" s="805">
        <f t="shared" si="6"/>
        <v>100733.33333333334</v>
      </c>
    </row>
    <row r="50" spans="1:16" ht="38.25" x14ac:dyDescent="0.2">
      <c r="A50" s="2233"/>
      <c r="B50" s="2233"/>
      <c r="C50" s="809" t="s">
        <v>369</v>
      </c>
      <c r="D50" s="816">
        <v>20100000000</v>
      </c>
      <c r="E50" s="836">
        <f t="shared" si="0"/>
        <v>20100</v>
      </c>
      <c r="F50" s="843">
        <v>9030000000</v>
      </c>
      <c r="G50" s="836">
        <f t="shared" si="1"/>
        <v>9030</v>
      </c>
      <c r="H50" s="843">
        <v>2270000000</v>
      </c>
      <c r="I50" s="836">
        <f t="shared" si="2"/>
        <v>2270</v>
      </c>
      <c r="J50" s="843">
        <v>4300000000</v>
      </c>
      <c r="K50" s="836">
        <f t="shared" si="3"/>
        <v>4300</v>
      </c>
      <c r="L50" s="843">
        <v>0</v>
      </c>
      <c r="M50" s="836">
        <f t="shared" si="4"/>
        <v>0</v>
      </c>
      <c r="N50" s="843">
        <v>4500000000</v>
      </c>
      <c r="O50" s="845">
        <f t="shared" si="5"/>
        <v>4500</v>
      </c>
      <c r="P50" s="805">
        <f t="shared" si="6"/>
        <v>20100</v>
      </c>
    </row>
    <row r="51" spans="1:16" x14ac:dyDescent="0.2">
      <c r="A51" s="2233"/>
      <c r="B51" s="2233"/>
      <c r="C51" s="827" t="s">
        <v>375</v>
      </c>
      <c r="D51" s="817">
        <v>105257880.00000001</v>
      </c>
      <c r="E51" s="836">
        <f t="shared" si="0"/>
        <v>105.25788000000001</v>
      </c>
      <c r="F51" s="844">
        <v>105257880.00000001</v>
      </c>
      <c r="G51" s="836">
        <f t="shared" si="1"/>
        <v>105.25788000000001</v>
      </c>
      <c r="H51" s="844">
        <v>0</v>
      </c>
      <c r="I51" s="836">
        <f t="shared" si="2"/>
        <v>0</v>
      </c>
      <c r="J51" s="844">
        <v>0</v>
      </c>
      <c r="K51" s="836">
        <f t="shared" si="3"/>
        <v>0</v>
      </c>
      <c r="L51" s="844">
        <v>0</v>
      </c>
      <c r="M51" s="836">
        <f t="shared" si="4"/>
        <v>0</v>
      </c>
      <c r="N51" s="844">
        <v>0</v>
      </c>
      <c r="O51" s="845">
        <f t="shared" si="5"/>
        <v>0</v>
      </c>
      <c r="P51" s="805">
        <f t="shared" si="6"/>
        <v>105.25788000000001</v>
      </c>
    </row>
    <row r="52" spans="1:16" x14ac:dyDescent="0.2">
      <c r="A52" s="2233"/>
      <c r="B52" s="2233"/>
      <c r="C52" s="809" t="s">
        <v>379</v>
      </c>
      <c r="D52" s="816">
        <v>6000000000</v>
      </c>
      <c r="E52" s="836">
        <f t="shared" si="0"/>
        <v>6000</v>
      </c>
      <c r="F52" s="843">
        <v>6000000000</v>
      </c>
      <c r="G52" s="836">
        <f t="shared" si="1"/>
        <v>6000</v>
      </c>
      <c r="H52" s="843">
        <v>0</v>
      </c>
      <c r="I52" s="836">
        <f t="shared" si="2"/>
        <v>0</v>
      </c>
      <c r="J52" s="843">
        <v>0</v>
      </c>
      <c r="K52" s="836">
        <f t="shared" si="3"/>
        <v>0</v>
      </c>
      <c r="L52" s="843">
        <v>0</v>
      </c>
      <c r="M52" s="836">
        <f t="shared" si="4"/>
        <v>0</v>
      </c>
      <c r="N52" s="843">
        <v>0</v>
      </c>
      <c r="O52" s="845">
        <f t="shared" si="5"/>
        <v>0</v>
      </c>
      <c r="P52" s="805">
        <f t="shared" si="6"/>
        <v>6000</v>
      </c>
    </row>
    <row r="53" spans="1:16" ht="38.25" x14ac:dyDescent="0.2">
      <c r="A53" s="2233"/>
      <c r="B53" s="2233"/>
      <c r="C53" s="827" t="s">
        <v>385</v>
      </c>
      <c r="D53" s="817">
        <v>2820000000</v>
      </c>
      <c r="E53" s="836">
        <f t="shared" si="0"/>
        <v>2820</v>
      </c>
      <c r="F53" s="844">
        <v>1320000000</v>
      </c>
      <c r="G53" s="836">
        <f t="shared" si="1"/>
        <v>1320</v>
      </c>
      <c r="H53" s="844">
        <v>0</v>
      </c>
      <c r="I53" s="836">
        <f t="shared" si="2"/>
        <v>0</v>
      </c>
      <c r="J53" s="844">
        <v>0</v>
      </c>
      <c r="K53" s="836">
        <f t="shared" si="3"/>
        <v>0</v>
      </c>
      <c r="L53" s="844">
        <v>0</v>
      </c>
      <c r="M53" s="836">
        <f t="shared" si="4"/>
        <v>0</v>
      </c>
      <c r="N53" s="844">
        <v>1500000000</v>
      </c>
      <c r="O53" s="845">
        <f t="shared" si="5"/>
        <v>1500</v>
      </c>
      <c r="P53" s="805">
        <f t="shared" si="6"/>
        <v>2820</v>
      </c>
    </row>
    <row r="54" spans="1:16" ht="63.75" x14ac:dyDescent="0.2">
      <c r="A54" s="2233"/>
      <c r="B54" s="2233"/>
      <c r="C54" s="809" t="s">
        <v>986</v>
      </c>
      <c r="D54" s="816">
        <f>+MPT!Z257</f>
        <v>23060000000</v>
      </c>
      <c r="E54" s="836">
        <f t="shared" si="0"/>
        <v>23060</v>
      </c>
      <c r="F54" s="843">
        <v>12630000000</v>
      </c>
      <c r="G54" s="836">
        <f t="shared" si="1"/>
        <v>12630</v>
      </c>
      <c r="H54" s="843">
        <f>+MPT!AE257</f>
        <v>10430000000</v>
      </c>
      <c r="I54" s="836">
        <f t="shared" si="2"/>
        <v>10430</v>
      </c>
      <c r="J54" s="843">
        <v>0</v>
      </c>
      <c r="K54" s="836">
        <f t="shared" si="3"/>
        <v>0</v>
      </c>
      <c r="L54" s="843">
        <v>0</v>
      </c>
      <c r="M54" s="836">
        <f t="shared" si="4"/>
        <v>0</v>
      </c>
      <c r="N54" s="843">
        <v>0</v>
      </c>
      <c r="O54" s="845">
        <f t="shared" si="5"/>
        <v>0</v>
      </c>
      <c r="P54" s="805">
        <f t="shared" si="6"/>
        <v>23060</v>
      </c>
    </row>
    <row r="55" spans="1:16" ht="25.5" x14ac:dyDescent="0.2">
      <c r="A55" s="2233"/>
      <c r="B55" s="2233"/>
      <c r="C55" s="826" t="s">
        <v>761</v>
      </c>
      <c r="D55" s="816">
        <f>+MPT!Z264</f>
        <v>5422000000</v>
      </c>
      <c r="E55" s="836">
        <f t="shared" si="0"/>
        <v>5422</v>
      </c>
      <c r="F55" s="843">
        <f>+D55</f>
        <v>5422000000</v>
      </c>
      <c r="G55" s="836">
        <f t="shared" si="1"/>
        <v>5422</v>
      </c>
      <c r="H55" s="843">
        <v>0</v>
      </c>
      <c r="I55" s="836">
        <f t="shared" si="2"/>
        <v>0</v>
      </c>
      <c r="J55" s="843">
        <v>0</v>
      </c>
      <c r="K55" s="836">
        <f t="shared" si="3"/>
        <v>0</v>
      </c>
      <c r="L55" s="843">
        <v>0</v>
      </c>
      <c r="M55" s="836">
        <f t="shared" si="4"/>
        <v>0</v>
      </c>
      <c r="N55" s="843">
        <v>0</v>
      </c>
      <c r="O55" s="845">
        <f t="shared" si="5"/>
        <v>0</v>
      </c>
      <c r="P55" s="805">
        <f t="shared" si="6"/>
        <v>5422</v>
      </c>
    </row>
    <row r="56" spans="1:16" ht="25.5" x14ac:dyDescent="0.2">
      <c r="A56" s="2233"/>
      <c r="B56" s="2233"/>
      <c r="C56" s="809" t="s">
        <v>402</v>
      </c>
      <c r="D56" s="816">
        <f>+MPT!Z269</f>
        <v>13000000000</v>
      </c>
      <c r="E56" s="836">
        <f t="shared" si="0"/>
        <v>13000</v>
      </c>
      <c r="F56" s="843">
        <f>+MPT!AB269</f>
        <v>6000000000</v>
      </c>
      <c r="G56" s="836">
        <f t="shared" si="1"/>
        <v>6000</v>
      </c>
      <c r="H56" s="843">
        <v>0</v>
      </c>
      <c r="I56" s="836">
        <f t="shared" si="2"/>
        <v>0</v>
      </c>
      <c r="J56" s="843">
        <v>0</v>
      </c>
      <c r="K56" s="836">
        <f t="shared" si="3"/>
        <v>0</v>
      </c>
      <c r="L56" s="843">
        <v>0</v>
      </c>
      <c r="M56" s="836">
        <f t="shared" si="4"/>
        <v>0</v>
      </c>
      <c r="N56" s="843">
        <f>+MPT!AN269</f>
        <v>7000000000</v>
      </c>
      <c r="O56" s="845">
        <f t="shared" si="5"/>
        <v>7000</v>
      </c>
      <c r="P56" s="805">
        <f t="shared" si="6"/>
        <v>13000</v>
      </c>
    </row>
    <row r="57" spans="1:16" ht="51" x14ac:dyDescent="0.2">
      <c r="A57" s="2233"/>
      <c r="B57" s="809" t="s">
        <v>406</v>
      </c>
      <c r="C57" s="828" t="s">
        <v>843</v>
      </c>
      <c r="D57" s="807">
        <v>34347490935.045033</v>
      </c>
      <c r="E57" s="836">
        <f t="shared" si="0"/>
        <v>34347.490935045033</v>
      </c>
      <c r="F57" s="840">
        <v>34347490935.045033</v>
      </c>
      <c r="G57" s="836">
        <f t="shared" si="1"/>
        <v>34347.490935045033</v>
      </c>
      <c r="H57" s="840">
        <v>0</v>
      </c>
      <c r="I57" s="836">
        <f t="shared" si="2"/>
        <v>0</v>
      </c>
      <c r="J57" s="840">
        <v>0</v>
      </c>
      <c r="K57" s="836">
        <f t="shared" si="3"/>
        <v>0</v>
      </c>
      <c r="L57" s="840">
        <v>0</v>
      </c>
      <c r="M57" s="836">
        <f t="shared" si="4"/>
        <v>0</v>
      </c>
      <c r="N57" s="840">
        <v>0</v>
      </c>
      <c r="O57" s="845">
        <f t="shared" si="5"/>
        <v>0</v>
      </c>
      <c r="P57" s="805">
        <f t="shared" si="6"/>
        <v>34347.490935045033</v>
      </c>
    </row>
    <row r="58" spans="1:16" x14ac:dyDescent="0.2">
      <c r="A58" s="2233"/>
      <c r="B58" s="809" t="s">
        <v>409</v>
      </c>
      <c r="C58" s="828" t="s">
        <v>410</v>
      </c>
      <c r="D58" s="811">
        <v>135053873599.01639</v>
      </c>
      <c r="E58" s="836">
        <f t="shared" si="0"/>
        <v>135053.8735990164</v>
      </c>
      <c r="F58" s="838">
        <v>6870698553.0500002</v>
      </c>
      <c r="G58" s="836">
        <f t="shared" si="1"/>
        <v>6870.6985530500006</v>
      </c>
      <c r="H58" s="838">
        <v>0</v>
      </c>
      <c r="I58" s="836">
        <f t="shared" si="2"/>
        <v>0</v>
      </c>
      <c r="J58" s="838">
        <v>0</v>
      </c>
      <c r="K58" s="836">
        <f t="shared" si="3"/>
        <v>0</v>
      </c>
      <c r="L58" s="838">
        <v>128183175045.9664</v>
      </c>
      <c r="M58" s="836">
        <f t="shared" si="4"/>
        <v>128183.1750459664</v>
      </c>
      <c r="N58" s="838">
        <v>0</v>
      </c>
      <c r="O58" s="845">
        <f t="shared" si="5"/>
        <v>0</v>
      </c>
      <c r="P58" s="805">
        <f t="shared" si="6"/>
        <v>135053.8735990164</v>
      </c>
    </row>
    <row r="59" spans="1:16" ht="89.25" x14ac:dyDescent="0.2">
      <c r="A59" s="2233" t="s">
        <v>995</v>
      </c>
      <c r="B59" s="828" t="s">
        <v>719</v>
      </c>
      <c r="C59" s="809" t="s">
        <v>720</v>
      </c>
      <c r="D59" s="811">
        <f>1075181737+8000000</f>
        <v>1083181737</v>
      </c>
      <c r="E59" s="836">
        <f t="shared" si="0"/>
        <v>1083.1817370000001</v>
      </c>
      <c r="F59" s="838">
        <f>470000000+8000000</f>
        <v>478000000</v>
      </c>
      <c r="G59" s="836">
        <f t="shared" si="1"/>
        <v>478</v>
      </c>
      <c r="H59" s="838">
        <v>605181737</v>
      </c>
      <c r="I59" s="836">
        <f t="shared" si="2"/>
        <v>605.181737</v>
      </c>
      <c r="J59" s="838">
        <v>0</v>
      </c>
      <c r="K59" s="836">
        <f t="shared" si="3"/>
        <v>0</v>
      </c>
      <c r="L59" s="838">
        <v>0</v>
      </c>
      <c r="M59" s="836">
        <f t="shared" si="4"/>
        <v>0</v>
      </c>
      <c r="N59" s="838">
        <v>0</v>
      </c>
      <c r="O59" s="845">
        <f t="shared" si="5"/>
        <v>0</v>
      </c>
      <c r="P59" s="805">
        <f t="shared" si="6"/>
        <v>1083.1817369999999</v>
      </c>
    </row>
    <row r="60" spans="1:16" ht="38.25" x14ac:dyDescent="0.2">
      <c r="A60" s="2233"/>
      <c r="B60" s="809" t="s">
        <v>426</v>
      </c>
      <c r="C60" s="809" t="s">
        <v>427</v>
      </c>
      <c r="D60" s="811">
        <v>171981936</v>
      </c>
      <c r="E60" s="836">
        <f t="shared" si="0"/>
        <v>171.98193599999999</v>
      </c>
      <c r="F60" s="838">
        <v>0</v>
      </c>
      <c r="G60" s="836">
        <f t="shared" si="1"/>
        <v>0</v>
      </c>
      <c r="H60" s="838">
        <v>171981936</v>
      </c>
      <c r="I60" s="836">
        <f t="shared" si="2"/>
        <v>171.98193599999999</v>
      </c>
      <c r="J60" s="838">
        <v>0</v>
      </c>
      <c r="K60" s="836">
        <f t="shared" si="3"/>
        <v>0</v>
      </c>
      <c r="L60" s="838">
        <v>0</v>
      </c>
      <c r="M60" s="836">
        <f t="shared" si="4"/>
        <v>0</v>
      </c>
      <c r="N60" s="838">
        <v>0</v>
      </c>
      <c r="O60" s="845">
        <f t="shared" si="5"/>
        <v>0</v>
      </c>
      <c r="P60" s="805">
        <f t="shared" si="6"/>
        <v>171.98193599999999</v>
      </c>
    </row>
    <row r="61" spans="1:16" ht="63.75" x14ac:dyDescent="0.2">
      <c r="A61" s="2233"/>
      <c r="B61" s="809" t="s">
        <v>429</v>
      </c>
      <c r="C61" s="809" t="s">
        <v>430</v>
      </c>
      <c r="D61" s="811">
        <v>527855991</v>
      </c>
      <c r="E61" s="836">
        <f t="shared" si="0"/>
        <v>527.85599100000002</v>
      </c>
      <c r="F61" s="838">
        <v>527855991</v>
      </c>
      <c r="G61" s="836">
        <f t="shared" si="1"/>
        <v>527.85599100000002</v>
      </c>
      <c r="H61" s="838">
        <v>0</v>
      </c>
      <c r="I61" s="836">
        <f t="shared" si="2"/>
        <v>0</v>
      </c>
      <c r="J61" s="838">
        <v>0</v>
      </c>
      <c r="K61" s="836">
        <f t="shared" si="3"/>
        <v>0</v>
      </c>
      <c r="L61" s="838">
        <v>0</v>
      </c>
      <c r="M61" s="836">
        <f t="shared" si="4"/>
        <v>0</v>
      </c>
      <c r="N61" s="838">
        <v>0</v>
      </c>
      <c r="O61" s="845">
        <f t="shared" si="5"/>
        <v>0</v>
      </c>
      <c r="P61" s="805">
        <f t="shared" si="6"/>
        <v>527.85599100000002</v>
      </c>
    </row>
    <row r="62" spans="1:16" x14ac:dyDescent="0.2">
      <c r="A62" s="2233"/>
      <c r="B62" s="809" t="s">
        <v>436</v>
      </c>
      <c r="C62" s="809" t="s">
        <v>437</v>
      </c>
      <c r="D62" s="811">
        <v>3088395000</v>
      </c>
      <c r="E62" s="836">
        <f t="shared" si="0"/>
        <v>3088.395</v>
      </c>
      <c r="F62" s="838">
        <v>2670032300</v>
      </c>
      <c r="G62" s="836">
        <f t="shared" si="1"/>
        <v>2670.0322999999999</v>
      </c>
      <c r="H62" s="838">
        <v>418362700</v>
      </c>
      <c r="I62" s="836">
        <f t="shared" si="2"/>
        <v>418.36270000000002</v>
      </c>
      <c r="J62" s="838">
        <v>0</v>
      </c>
      <c r="K62" s="836">
        <f t="shared" si="3"/>
        <v>0</v>
      </c>
      <c r="L62" s="838">
        <v>0</v>
      </c>
      <c r="M62" s="836">
        <f t="shared" si="4"/>
        <v>0</v>
      </c>
      <c r="N62" s="838">
        <v>0</v>
      </c>
      <c r="O62" s="845">
        <f t="shared" si="5"/>
        <v>0</v>
      </c>
      <c r="P62" s="805">
        <f t="shared" si="6"/>
        <v>3088.395</v>
      </c>
    </row>
    <row r="63" spans="1:16" ht="25.5" x14ac:dyDescent="0.2">
      <c r="A63" s="2233"/>
      <c r="B63" s="809" t="s">
        <v>441</v>
      </c>
      <c r="C63" s="809" t="s">
        <v>442</v>
      </c>
      <c r="D63" s="811">
        <v>705921000</v>
      </c>
      <c r="E63" s="836">
        <f t="shared" si="0"/>
        <v>705.92100000000005</v>
      </c>
      <c r="F63" s="838">
        <v>705921000</v>
      </c>
      <c r="G63" s="836">
        <f t="shared" si="1"/>
        <v>705.92100000000005</v>
      </c>
      <c r="H63" s="838">
        <v>0</v>
      </c>
      <c r="I63" s="836">
        <f t="shared" si="2"/>
        <v>0</v>
      </c>
      <c r="J63" s="838">
        <v>0</v>
      </c>
      <c r="K63" s="836">
        <f t="shared" si="3"/>
        <v>0</v>
      </c>
      <c r="L63" s="838">
        <v>0</v>
      </c>
      <c r="M63" s="836">
        <f t="shared" si="4"/>
        <v>0</v>
      </c>
      <c r="N63" s="838">
        <v>0</v>
      </c>
      <c r="O63" s="845">
        <f t="shared" si="5"/>
        <v>0</v>
      </c>
      <c r="P63" s="805">
        <f t="shared" si="6"/>
        <v>705.92100000000005</v>
      </c>
    </row>
    <row r="64" spans="1:16" ht="25.5" x14ac:dyDescent="0.2">
      <c r="A64" s="2233"/>
      <c r="B64" s="809" t="s">
        <v>447</v>
      </c>
      <c r="C64" s="828" t="s">
        <v>448</v>
      </c>
      <c r="D64" s="807">
        <v>2035000000</v>
      </c>
      <c r="E64" s="836">
        <f t="shared" si="0"/>
        <v>2035</v>
      </c>
      <c r="F64" s="840">
        <v>655000000</v>
      </c>
      <c r="G64" s="836">
        <f t="shared" si="1"/>
        <v>655</v>
      </c>
      <c r="H64" s="840">
        <v>0</v>
      </c>
      <c r="I64" s="836">
        <f t="shared" si="2"/>
        <v>0</v>
      </c>
      <c r="J64" s="840">
        <v>0</v>
      </c>
      <c r="K64" s="836">
        <f t="shared" si="3"/>
        <v>0</v>
      </c>
      <c r="L64" s="840">
        <v>0</v>
      </c>
      <c r="M64" s="836">
        <f t="shared" si="4"/>
        <v>0</v>
      </c>
      <c r="N64" s="840">
        <v>1380000000</v>
      </c>
      <c r="O64" s="845">
        <f t="shared" si="5"/>
        <v>1380</v>
      </c>
      <c r="P64" s="805">
        <f t="shared" si="6"/>
        <v>2035</v>
      </c>
    </row>
    <row r="65" spans="1:16" ht="38.25" x14ac:dyDescent="0.2">
      <c r="A65" s="2233" t="s">
        <v>996</v>
      </c>
      <c r="B65" s="2233" t="s">
        <v>456</v>
      </c>
      <c r="C65" s="809" t="s">
        <v>457</v>
      </c>
      <c r="D65" s="810">
        <v>1393342582.8557439</v>
      </c>
      <c r="E65" s="836">
        <f t="shared" si="0"/>
        <v>1393.3425828557438</v>
      </c>
      <c r="F65" s="845">
        <v>1393342582.8557439</v>
      </c>
      <c r="G65" s="836">
        <f t="shared" si="1"/>
        <v>1393.3425828557438</v>
      </c>
      <c r="H65" s="845">
        <v>0</v>
      </c>
      <c r="I65" s="836">
        <f t="shared" si="2"/>
        <v>0</v>
      </c>
      <c r="J65" s="845">
        <v>0</v>
      </c>
      <c r="K65" s="836">
        <f t="shared" si="3"/>
        <v>0</v>
      </c>
      <c r="L65" s="845">
        <v>0</v>
      </c>
      <c r="M65" s="836">
        <f t="shared" si="4"/>
        <v>0</v>
      </c>
      <c r="N65" s="845">
        <v>0</v>
      </c>
      <c r="O65" s="845">
        <f t="shared" si="5"/>
        <v>0</v>
      </c>
      <c r="P65" s="805">
        <f t="shared" si="6"/>
        <v>1393.3425828557438</v>
      </c>
    </row>
    <row r="66" spans="1:16" ht="38.25" x14ac:dyDescent="0.2">
      <c r="A66" s="2233"/>
      <c r="B66" s="2233"/>
      <c r="C66" s="809" t="s">
        <v>460</v>
      </c>
      <c r="D66" s="810">
        <v>2975700000</v>
      </c>
      <c r="E66" s="836">
        <f t="shared" si="0"/>
        <v>2975.7</v>
      </c>
      <c r="F66" s="845">
        <v>2975700000</v>
      </c>
      <c r="G66" s="836">
        <f t="shared" si="1"/>
        <v>2975.7</v>
      </c>
      <c r="H66" s="845">
        <v>0</v>
      </c>
      <c r="I66" s="836">
        <f t="shared" si="2"/>
        <v>0</v>
      </c>
      <c r="J66" s="845">
        <v>0</v>
      </c>
      <c r="K66" s="836">
        <f t="shared" si="3"/>
        <v>0</v>
      </c>
      <c r="L66" s="845">
        <v>0</v>
      </c>
      <c r="M66" s="836">
        <f t="shared" si="4"/>
        <v>0</v>
      </c>
      <c r="N66" s="845">
        <v>0</v>
      </c>
      <c r="O66" s="845">
        <f t="shared" si="5"/>
        <v>0</v>
      </c>
      <c r="P66" s="805">
        <f t="shared" si="6"/>
        <v>2975.7</v>
      </c>
    </row>
    <row r="67" spans="1:16" ht="25.5" x14ac:dyDescent="0.2">
      <c r="A67" s="2233"/>
      <c r="B67" s="2233"/>
      <c r="C67" s="809" t="s">
        <v>464</v>
      </c>
      <c r="D67" s="810">
        <v>12803612251</v>
      </c>
      <c r="E67" s="836">
        <f t="shared" si="0"/>
        <v>12803.612251</v>
      </c>
      <c r="F67" s="845">
        <v>12803612251</v>
      </c>
      <c r="G67" s="836">
        <f t="shared" si="1"/>
        <v>12803.612251</v>
      </c>
      <c r="H67" s="845">
        <v>0</v>
      </c>
      <c r="I67" s="836">
        <f t="shared" si="2"/>
        <v>0</v>
      </c>
      <c r="J67" s="845">
        <v>0</v>
      </c>
      <c r="K67" s="836">
        <f t="shared" si="3"/>
        <v>0</v>
      </c>
      <c r="L67" s="845">
        <v>0</v>
      </c>
      <c r="M67" s="836">
        <f t="shared" si="4"/>
        <v>0</v>
      </c>
      <c r="N67" s="845">
        <v>0</v>
      </c>
      <c r="O67" s="845">
        <f t="shared" si="5"/>
        <v>0</v>
      </c>
      <c r="P67" s="805">
        <f t="shared" si="6"/>
        <v>12803.612251</v>
      </c>
    </row>
    <row r="68" spans="1:16" ht="25.5" x14ac:dyDescent="0.2">
      <c r="A68" s="2233"/>
      <c r="B68" s="2234" t="s">
        <v>721</v>
      </c>
      <c r="C68" s="826" t="s">
        <v>468</v>
      </c>
      <c r="D68" s="806">
        <v>7280818643</v>
      </c>
      <c r="E68" s="836">
        <f t="shared" si="0"/>
        <v>7280.8186429999996</v>
      </c>
      <c r="F68" s="837">
        <v>6237820250</v>
      </c>
      <c r="G68" s="836">
        <f t="shared" si="1"/>
        <v>6237.8202499999998</v>
      </c>
      <c r="H68" s="837">
        <v>882998393</v>
      </c>
      <c r="I68" s="836">
        <f t="shared" si="2"/>
        <v>882.99839299999996</v>
      </c>
      <c r="J68" s="837">
        <v>0</v>
      </c>
      <c r="K68" s="836">
        <f t="shared" si="3"/>
        <v>0</v>
      </c>
      <c r="L68" s="837">
        <v>0</v>
      </c>
      <c r="M68" s="836">
        <f t="shared" si="4"/>
        <v>0</v>
      </c>
      <c r="N68" s="837">
        <v>160000000</v>
      </c>
      <c r="O68" s="845">
        <f t="shared" si="5"/>
        <v>160</v>
      </c>
      <c r="P68" s="805">
        <f t="shared" si="6"/>
        <v>7280.8186429999996</v>
      </c>
    </row>
    <row r="69" spans="1:16" ht="63.75" x14ac:dyDescent="0.2">
      <c r="A69" s="2233"/>
      <c r="B69" s="2234"/>
      <c r="C69" s="827" t="s">
        <v>476</v>
      </c>
      <c r="D69" s="814">
        <v>840000000</v>
      </c>
      <c r="E69" s="836">
        <f t="shared" si="0"/>
        <v>840</v>
      </c>
      <c r="F69" s="839">
        <v>0</v>
      </c>
      <c r="G69" s="836">
        <f t="shared" si="1"/>
        <v>0</v>
      </c>
      <c r="H69" s="839">
        <v>0</v>
      </c>
      <c r="I69" s="836">
        <f t="shared" si="2"/>
        <v>0</v>
      </c>
      <c r="J69" s="839">
        <v>0</v>
      </c>
      <c r="K69" s="836">
        <f t="shared" si="3"/>
        <v>0</v>
      </c>
      <c r="L69" s="839">
        <v>0</v>
      </c>
      <c r="M69" s="836">
        <f t="shared" si="4"/>
        <v>0</v>
      </c>
      <c r="N69" s="839">
        <v>840000000</v>
      </c>
      <c r="O69" s="845">
        <f t="shared" si="5"/>
        <v>840</v>
      </c>
      <c r="P69" s="805">
        <f t="shared" si="6"/>
        <v>840</v>
      </c>
    </row>
    <row r="70" spans="1:16" ht="38.25" x14ac:dyDescent="0.2">
      <c r="A70" s="2233"/>
      <c r="B70" s="2234"/>
      <c r="C70" s="827" t="s">
        <v>758</v>
      </c>
      <c r="D70" s="814">
        <v>79235817</v>
      </c>
      <c r="E70" s="836">
        <f t="shared" si="0"/>
        <v>79.235816999999997</v>
      </c>
      <c r="F70" s="839">
        <v>0</v>
      </c>
      <c r="G70" s="836">
        <f t="shared" si="1"/>
        <v>0</v>
      </c>
      <c r="H70" s="839">
        <v>79235817</v>
      </c>
      <c r="I70" s="836">
        <f t="shared" si="2"/>
        <v>79.235816999999997</v>
      </c>
      <c r="J70" s="839">
        <v>0</v>
      </c>
      <c r="K70" s="836">
        <f t="shared" si="3"/>
        <v>0</v>
      </c>
      <c r="L70" s="839">
        <v>0</v>
      </c>
      <c r="M70" s="836">
        <f t="shared" si="4"/>
        <v>0</v>
      </c>
      <c r="N70" s="839">
        <v>0</v>
      </c>
      <c r="O70" s="845">
        <f t="shared" si="5"/>
        <v>0</v>
      </c>
      <c r="P70" s="805">
        <f t="shared" si="6"/>
        <v>79.235816999999997</v>
      </c>
    </row>
    <row r="71" spans="1:16" ht="63.75" x14ac:dyDescent="0.2">
      <c r="A71" s="2233" t="s">
        <v>765</v>
      </c>
      <c r="B71" s="2232" t="s">
        <v>483</v>
      </c>
      <c r="C71" s="828" t="s">
        <v>484</v>
      </c>
      <c r="D71" s="807">
        <v>2127695226.1493125</v>
      </c>
      <c r="E71" s="836">
        <f t="shared" si="0"/>
        <v>2127.6952261493125</v>
      </c>
      <c r="F71" s="840">
        <v>1385715393.1493127</v>
      </c>
      <c r="G71" s="836">
        <f t="shared" si="1"/>
        <v>1385.7153931493128</v>
      </c>
      <c r="H71" s="840">
        <v>741979833</v>
      </c>
      <c r="I71" s="836">
        <f t="shared" si="2"/>
        <v>741.97983299999999</v>
      </c>
      <c r="J71" s="840">
        <v>0</v>
      </c>
      <c r="K71" s="836">
        <f t="shared" si="3"/>
        <v>0</v>
      </c>
      <c r="L71" s="840">
        <v>0</v>
      </c>
      <c r="M71" s="836">
        <f t="shared" si="4"/>
        <v>0</v>
      </c>
      <c r="N71" s="840">
        <v>0</v>
      </c>
      <c r="O71" s="845">
        <f t="shared" si="5"/>
        <v>0</v>
      </c>
      <c r="P71" s="805">
        <f t="shared" si="6"/>
        <v>2127.6952261493129</v>
      </c>
    </row>
    <row r="72" spans="1:16" ht="38.25" x14ac:dyDescent="0.2">
      <c r="A72" s="2233"/>
      <c r="B72" s="2232"/>
      <c r="C72" s="828" t="s">
        <v>491</v>
      </c>
      <c r="D72" s="815">
        <v>696511472</v>
      </c>
      <c r="E72" s="836">
        <f t="shared" ref="E72:E80" si="7">+D72/1000000</f>
        <v>696.51147200000003</v>
      </c>
      <c r="F72" s="841">
        <v>696511472</v>
      </c>
      <c r="G72" s="836">
        <f t="shared" ref="G72:G80" si="8">+F72/1000000</f>
        <v>696.51147200000003</v>
      </c>
      <c r="H72" s="841">
        <v>0</v>
      </c>
      <c r="I72" s="836">
        <f t="shared" ref="I72:I80" si="9">+H72/1000000</f>
        <v>0</v>
      </c>
      <c r="J72" s="841">
        <v>0</v>
      </c>
      <c r="K72" s="836">
        <f t="shared" ref="K72:K80" si="10">+J72/1000000</f>
        <v>0</v>
      </c>
      <c r="L72" s="841">
        <v>0</v>
      </c>
      <c r="M72" s="836">
        <f t="shared" ref="M72:M80" si="11">+L72/1000000</f>
        <v>0</v>
      </c>
      <c r="N72" s="841">
        <v>0</v>
      </c>
      <c r="O72" s="845">
        <f t="shared" ref="O72:O80" si="12">+N72/1000000</f>
        <v>0</v>
      </c>
      <c r="P72" s="805">
        <f t="shared" ref="P72:P79" si="13">+G72+I72+K72+M72+O72</f>
        <v>696.51147200000003</v>
      </c>
    </row>
    <row r="73" spans="1:16" ht="38.25" x14ac:dyDescent="0.2">
      <c r="A73" s="2233"/>
      <c r="B73" s="2232"/>
      <c r="C73" s="828" t="s">
        <v>494</v>
      </c>
      <c r="D73" s="807">
        <v>1529579806.1259904</v>
      </c>
      <c r="E73" s="836">
        <f t="shared" si="7"/>
        <v>1529.5798061259904</v>
      </c>
      <c r="F73" s="840">
        <v>0</v>
      </c>
      <c r="G73" s="836">
        <f t="shared" si="8"/>
        <v>0</v>
      </c>
      <c r="H73" s="840">
        <v>1529579806.1259904</v>
      </c>
      <c r="I73" s="836">
        <f t="shared" si="9"/>
        <v>1529.5798061259904</v>
      </c>
      <c r="J73" s="840">
        <v>0</v>
      </c>
      <c r="K73" s="836">
        <f t="shared" si="10"/>
        <v>0</v>
      </c>
      <c r="L73" s="840">
        <v>0</v>
      </c>
      <c r="M73" s="836">
        <f t="shared" si="11"/>
        <v>0</v>
      </c>
      <c r="N73" s="840">
        <v>0</v>
      </c>
      <c r="O73" s="845">
        <f t="shared" si="12"/>
        <v>0</v>
      </c>
      <c r="P73" s="805">
        <f t="shared" si="13"/>
        <v>1529.5798061259904</v>
      </c>
    </row>
    <row r="74" spans="1:16" ht="38.25" x14ac:dyDescent="0.2">
      <c r="A74" s="2233"/>
      <c r="B74" s="2232"/>
      <c r="C74" s="828" t="s">
        <v>497</v>
      </c>
      <c r="D74" s="807">
        <v>1708134756.0970426</v>
      </c>
      <c r="E74" s="836">
        <f t="shared" si="7"/>
        <v>1708.1347560970426</v>
      </c>
      <c r="F74" s="840">
        <v>871149460</v>
      </c>
      <c r="G74" s="836">
        <f t="shared" si="8"/>
        <v>871.14945999999998</v>
      </c>
      <c r="H74" s="840">
        <v>836985296.09704244</v>
      </c>
      <c r="I74" s="836">
        <f t="shared" si="9"/>
        <v>836.98529609704246</v>
      </c>
      <c r="J74" s="840">
        <v>0</v>
      </c>
      <c r="K74" s="836">
        <f t="shared" si="10"/>
        <v>0</v>
      </c>
      <c r="L74" s="840">
        <v>0</v>
      </c>
      <c r="M74" s="836">
        <f t="shared" si="11"/>
        <v>0</v>
      </c>
      <c r="N74" s="840">
        <v>0</v>
      </c>
      <c r="O74" s="845">
        <f t="shared" si="12"/>
        <v>0</v>
      </c>
      <c r="P74" s="805">
        <f t="shared" si="13"/>
        <v>1708.1347560970426</v>
      </c>
    </row>
    <row r="75" spans="1:16" ht="102" x14ac:dyDescent="0.2">
      <c r="A75" s="2233"/>
      <c r="B75" s="2232"/>
      <c r="C75" s="828" t="s">
        <v>1014</v>
      </c>
      <c r="D75" s="807">
        <v>641832070.67690182</v>
      </c>
      <c r="E75" s="836">
        <f t="shared" si="7"/>
        <v>641.83207067690182</v>
      </c>
      <c r="F75" s="840">
        <v>0</v>
      </c>
      <c r="G75" s="836">
        <f t="shared" si="8"/>
        <v>0</v>
      </c>
      <c r="H75" s="840">
        <v>641832070.67690182</v>
      </c>
      <c r="I75" s="836">
        <f t="shared" si="9"/>
        <v>641.83207067690182</v>
      </c>
      <c r="J75" s="840">
        <v>0</v>
      </c>
      <c r="K75" s="836">
        <f t="shared" si="10"/>
        <v>0</v>
      </c>
      <c r="L75" s="840">
        <v>0</v>
      </c>
      <c r="M75" s="836">
        <f t="shared" si="11"/>
        <v>0</v>
      </c>
      <c r="N75" s="840">
        <v>0</v>
      </c>
      <c r="O75" s="845">
        <f t="shared" si="12"/>
        <v>0</v>
      </c>
      <c r="P75" s="805">
        <f t="shared" si="13"/>
        <v>641.83207067690182</v>
      </c>
    </row>
    <row r="76" spans="1:16" ht="76.5" x14ac:dyDescent="0.2">
      <c r="A76" s="2233"/>
      <c r="B76" s="2232"/>
      <c r="C76" s="828" t="s">
        <v>508</v>
      </c>
      <c r="D76" s="807">
        <v>253059456</v>
      </c>
      <c r="E76" s="836">
        <f t="shared" si="7"/>
        <v>253.05945600000001</v>
      </c>
      <c r="F76" s="840">
        <v>253059456</v>
      </c>
      <c r="G76" s="836">
        <f t="shared" si="8"/>
        <v>253.05945600000001</v>
      </c>
      <c r="H76" s="840">
        <v>0</v>
      </c>
      <c r="I76" s="836">
        <f t="shared" si="9"/>
        <v>0</v>
      </c>
      <c r="J76" s="840">
        <v>0</v>
      </c>
      <c r="K76" s="836">
        <f t="shared" si="10"/>
        <v>0</v>
      </c>
      <c r="L76" s="840">
        <v>0</v>
      </c>
      <c r="M76" s="836">
        <f t="shared" si="11"/>
        <v>0</v>
      </c>
      <c r="N76" s="840">
        <v>0</v>
      </c>
      <c r="O76" s="845">
        <f t="shared" si="12"/>
        <v>0</v>
      </c>
      <c r="P76" s="805">
        <f t="shared" si="13"/>
        <v>253.05945600000001</v>
      </c>
    </row>
    <row r="77" spans="1:16" ht="25.5" x14ac:dyDescent="0.2">
      <c r="A77" s="2233" t="s">
        <v>939</v>
      </c>
      <c r="B77" s="2233" t="s">
        <v>511</v>
      </c>
      <c r="C77" s="809" t="s">
        <v>512</v>
      </c>
      <c r="D77" s="810">
        <f>62146928154.4841-D80</f>
        <v>60994822692.787476</v>
      </c>
      <c r="E77" s="836">
        <f t="shared" si="7"/>
        <v>60994.822692787478</v>
      </c>
      <c r="F77" s="845">
        <f>+MPT!AB366</f>
        <v>18565685561.360802</v>
      </c>
      <c r="G77" s="836">
        <f t="shared" si="8"/>
        <v>18565.685561360802</v>
      </c>
      <c r="H77" s="845">
        <f>+MPT!AE366</f>
        <v>1981441144</v>
      </c>
      <c r="I77" s="836">
        <f t="shared" si="9"/>
        <v>1981.4411439999999</v>
      </c>
      <c r="J77" s="845">
        <v>29970960694</v>
      </c>
      <c r="K77" s="836">
        <f t="shared" si="10"/>
        <v>29970.960694000001</v>
      </c>
      <c r="L77" s="845">
        <v>0</v>
      </c>
      <c r="M77" s="836">
        <f t="shared" si="11"/>
        <v>0</v>
      </c>
      <c r="N77" s="845">
        <v>10476735292.750187</v>
      </c>
      <c r="O77" s="845">
        <f t="shared" si="12"/>
        <v>10476.735292750187</v>
      </c>
      <c r="P77" s="805">
        <f t="shared" si="13"/>
        <v>60994.822692110989</v>
      </c>
    </row>
    <row r="78" spans="1:16" ht="25.5" x14ac:dyDescent="0.2">
      <c r="A78" s="2233"/>
      <c r="B78" s="2233"/>
      <c r="C78" s="831" t="s">
        <v>960</v>
      </c>
      <c r="D78" s="810">
        <v>82432160</v>
      </c>
      <c r="E78" s="836">
        <f t="shared" si="7"/>
        <v>82.432159999999996</v>
      </c>
      <c r="F78" s="845">
        <v>62232160</v>
      </c>
      <c r="G78" s="836">
        <f t="shared" si="8"/>
        <v>62.23216</v>
      </c>
      <c r="H78" s="845">
        <v>0</v>
      </c>
      <c r="I78" s="836">
        <f t="shared" si="9"/>
        <v>0</v>
      </c>
      <c r="J78" s="845">
        <v>0</v>
      </c>
      <c r="K78" s="836">
        <f t="shared" si="10"/>
        <v>0</v>
      </c>
      <c r="L78" s="845">
        <v>0</v>
      </c>
      <c r="M78" s="836">
        <f t="shared" si="11"/>
        <v>0</v>
      </c>
      <c r="N78" s="845">
        <v>20200000</v>
      </c>
      <c r="O78" s="845">
        <f t="shared" si="12"/>
        <v>20.2</v>
      </c>
      <c r="P78" s="805">
        <f t="shared" si="13"/>
        <v>82.432159999999996</v>
      </c>
    </row>
    <row r="79" spans="1:16" ht="25.5" x14ac:dyDescent="0.2">
      <c r="A79" s="2233"/>
      <c r="B79" s="2233"/>
      <c r="C79" s="831" t="s">
        <v>961</v>
      </c>
      <c r="D79" s="810">
        <v>1215266320</v>
      </c>
      <c r="E79" s="836">
        <f t="shared" si="7"/>
        <v>1215.26632</v>
      </c>
      <c r="F79" s="845">
        <v>803105520</v>
      </c>
      <c r="G79" s="836">
        <f t="shared" si="8"/>
        <v>803.10551999999996</v>
      </c>
      <c r="H79" s="845">
        <v>0</v>
      </c>
      <c r="I79" s="836">
        <f t="shared" si="9"/>
        <v>0</v>
      </c>
      <c r="J79" s="845">
        <v>0</v>
      </c>
      <c r="K79" s="836">
        <f t="shared" si="10"/>
        <v>0</v>
      </c>
      <c r="L79" s="845">
        <v>0</v>
      </c>
      <c r="M79" s="836">
        <f t="shared" si="11"/>
        <v>0</v>
      </c>
      <c r="N79" s="845">
        <v>412160800</v>
      </c>
      <c r="O79" s="845">
        <f t="shared" si="12"/>
        <v>412.16079999999999</v>
      </c>
      <c r="P79" s="805">
        <f t="shared" si="13"/>
        <v>1215.26632</v>
      </c>
    </row>
    <row r="80" spans="1:16" ht="38.25" x14ac:dyDescent="0.2">
      <c r="A80" s="2233"/>
      <c r="B80" s="2233"/>
      <c r="C80" s="809" t="s">
        <v>561</v>
      </c>
      <c r="D80" s="811">
        <v>1152105461.696624</v>
      </c>
      <c r="E80" s="836">
        <f t="shared" si="7"/>
        <v>1152.1054616966239</v>
      </c>
      <c r="F80" s="838">
        <v>35449866.5</v>
      </c>
      <c r="G80" s="836">
        <f t="shared" si="8"/>
        <v>35.449866499999999</v>
      </c>
      <c r="H80" s="838">
        <v>1116655595.196624</v>
      </c>
      <c r="I80" s="836">
        <f t="shared" si="9"/>
        <v>1116.6555951966241</v>
      </c>
      <c r="J80" s="838">
        <v>0</v>
      </c>
      <c r="K80" s="836">
        <f t="shared" si="10"/>
        <v>0</v>
      </c>
      <c r="L80" s="838">
        <v>0</v>
      </c>
      <c r="M80" s="836">
        <f t="shared" si="11"/>
        <v>0</v>
      </c>
      <c r="N80" s="838">
        <v>0</v>
      </c>
      <c r="O80" s="845">
        <f t="shared" si="12"/>
        <v>0</v>
      </c>
      <c r="P80" s="805">
        <f>+G80+I80+K80+M80+O80</f>
        <v>1152.1054616966242</v>
      </c>
    </row>
    <row r="81" spans="1:15" ht="15.75" x14ac:dyDescent="0.2">
      <c r="A81" s="2236" t="s">
        <v>1011</v>
      </c>
      <c r="B81" s="2236"/>
      <c r="C81" s="2237"/>
      <c r="D81" s="832">
        <f>SUM(D8:D80)</f>
        <v>2767044419201.8437</v>
      </c>
      <c r="E81" s="846">
        <f>SUM(E8:E80)</f>
        <v>2767044.419201843</v>
      </c>
      <c r="F81" s="846">
        <f t="shared" ref="F81:O81" si="14">SUM(F8:F80)</f>
        <v>397593710971.64569</v>
      </c>
      <c r="G81" s="846">
        <f>SUM(G8:G80)</f>
        <v>397593.7109716456</v>
      </c>
      <c r="H81" s="846">
        <f t="shared" si="14"/>
        <v>701000367880.51941</v>
      </c>
      <c r="I81" s="846">
        <f>SUM(I8:I80)</f>
        <v>701000.3678805196</v>
      </c>
      <c r="J81" s="846">
        <f t="shared" si="14"/>
        <v>382750851467</v>
      </c>
      <c r="K81" s="846">
        <f>SUM(K8:K80)</f>
        <v>382750.85146699997</v>
      </c>
      <c r="L81" s="846">
        <f t="shared" si="14"/>
        <v>170117246787.9664</v>
      </c>
      <c r="M81" s="846">
        <f>SUM(M8:M80)</f>
        <v>170117.2467879664</v>
      </c>
      <c r="N81" s="846">
        <f t="shared" si="14"/>
        <v>1115582242094.8704</v>
      </c>
      <c r="O81" s="846">
        <f t="shared" si="14"/>
        <v>1115582.2420948702</v>
      </c>
    </row>
  </sheetData>
  <sheetProtection algorithmName="SHA-512" hashValue="wIB5IlveRbyS5CNSqZW6uxRPAf4EeV/eg/197WUiDeGIFMO9E+E6lQ0X0Ux1Hf9dIeUIBd1EjewshQl6XROqmg==" saltValue="uHKBGjmH/VSxZdPqIXwmQA==" spinCount="100000" sheet="1" objects="1" scenarios="1"/>
  <mergeCells count="26">
    <mergeCell ref="G6:O6"/>
    <mergeCell ref="A81:C81"/>
    <mergeCell ref="A1:O1"/>
    <mergeCell ref="A2:O2"/>
    <mergeCell ref="A3:O3"/>
    <mergeCell ref="A4:O4"/>
    <mergeCell ref="B71:B76"/>
    <mergeCell ref="B77:B80"/>
    <mergeCell ref="A47:A58"/>
    <mergeCell ref="A8:A46"/>
    <mergeCell ref="A59:A64"/>
    <mergeCell ref="A65:A70"/>
    <mergeCell ref="A71:A76"/>
    <mergeCell ref="A77:A80"/>
    <mergeCell ref="B38:B39"/>
    <mergeCell ref="B40:B41"/>
    <mergeCell ref="B42:B46"/>
    <mergeCell ref="B47:B56"/>
    <mergeCell ref="B65:B67"/>
    <mergeCell ref="B68:B70"/>
    <mergeCell ref="B8:B10"/>
    <mergeCell ref="B11:B14"/>
    <mergeCell ref="B15:B17"/>
    <mergeCell ref="B18:B21"/>
    <mergeCell ref="B22:B29"/>
    <mergeCell ref="B31:B3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845DD7647B829E42997C82A1BF02D8BF" ma:contentTypeVersion="1" ma:contentTypeDescription="Cargar una imagen." ma:contentTypeScope="" ma:versionID="c93ccf7b683e48af457b74c10b29d509">
  <xsd:schema xmlns:xsd="http://www.w3.org/2001/XMLSchema" xmlns:xs="http://www.w3.org/2001/XMLSchema" xmlns:p="http://schemas.microsoft.com/office/2006/metadata/properties" xmlns:ns1="http://schemas.microsoft.com/sharepoint/v3" xmlns:ns2="58AA7208-8E59-4773-8A25-D8E4FD2822FA" xmlns:ns3="http://schemas.microsoft.com/sharepoint/v3/fields" targetNamespace="http://schemas.microsoft.com/office/2006/metadata/properties" ma:root="true" ma:fieldsID="50bd90074543f6f9836e56364eeed847" ns1:_="" ns2:_="" ns3:_="">
    <xsd:import namespace="http://schemas.microsoft.com/sharepoint/v3"/>
    <xsd:import namespace="58AA7208-8E59-4773-8A25-D8E4FD2822FA"/>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AA7208-8E59-4773-8A25-D8E4FD2822FA"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58AA7208-8E59-4773-8A25-D8E4FD2822FA"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0BAE66F0-AEA6-4B7A-8D02-567C2B9971EC}"/>
</file>

<file path=customXml/itemProps2.xml><?xml version="1.0" encoding="utf-8"?>
<ds:datastoreItem xmlns:ds="http://schemas.openxmlformats.org/officeDocument/2006/customXml" ds:itemID="{135CA4EB-AB49-4D8D-957A-9D4CAE8849EE}"/>
</file>

<file path=customXml/itemProps3.xml><?xml version="1.0" encoding="utf-8"?>
<ds:datastoreItem xmlns:ds="http://schemas.openxmlformats.org/officeDocument/2006/customXml" ds:itemID="{B4FBFB82-C710-4E31-BC3B-BD1445B090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MPT</vt:lpstr>
      <vt:lpstr>Hoja2</vt:lpstr>
      <vt:lpstr>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Blanca</dc:creator>
  <cp:keywords/>
  <dc:description/>
  <cp:lastModifiedBy>Usuario de Windows</cp:lastModifiedBy>
  <dcterms:created xsi:type="dcterms:W3CDTF">2020-05-02T16:27:30Z</dcterms:created>
  <dcterms:modified xsi:type="dcterms:W3CDTF">2020-11-05T20:34:24Z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0x0101009148F5A04DDD49CBA7127AADA5FB792B00AADE34325A8B49CDA8BB4DB53328F21400845DD7647B829E42997C82A1BF02D8BF</vt:lpwstr>
  </property>
</Properties>
</file>